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I-SERV2\ACI Job Files\GERBER QUOTES\BrainSim Qi Transmitter V1.0\"/>
    </mc:Choice>
  </mc:AlternateContent>
  <xr:revisionPtr revIDLastSave="0" documentId="13_ncr:1_{496BAE22-51B7-4A40-88AD-560C828162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Fine Pitch, QFP, QFN, or BGA  " sheetId="5" r:id="rId2"/>
    <sheet name="Chemicals Qty" sheetId="4" r:id="rId3"/>
    <sheet name="Chemicals pricing" sheetId="3" r:id="rId4"/>
    <sheet name="Rev Rec" sheetId="6" r:id="rId5"/>
  </sheets>
  <externalReferences>
    <externalReference r:id="rId6"/>
  </externalReferences>
  <definedNames>
    <definedName name="_xlnm._FilterDatabase" localSheetId="0" hidden="1">Sheet1!$A$23:$W$23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M4" i="3"/>
  <c r="N4" i="3" s="1"/>
  <c r="O4" i="3" s="1"/>
  <c r="P4" i="3" s="1"/>
  <c r="N28" i="4" l="1"/>
  <c r="O28" i="4" s="1"/>
  <c r="O23" i="4"/>
  <c r="P23" i="4" s="1"/>
  <c r="M17" i="4" l="1"/>
  <c r="Q17" i="4" s="1"/>
  <c r="R17" i="4" s="1"/>
  <c r="M11" i="4"/>
  <c r="Q11" i="4" s="1"/>
  <c r="R11" i="4" s="1"/>
  <c r="P5" i="4"/>
  <c r="Q5" i="4" s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24" i="1"/>
  <c r="T25" i="1"/>
  <c r="T26" i="1"/>
  <c r="T27" i="1"/>
  <c r="T28" i="1"/>
  <c r="T29" i="1"/>
  <c r="U29" i="1" s="1"/>
  <c r="T30" i="1"/>
  <c r="U30" i="1" s="1"/>
  <c r="T31" i="1"/>
  <c r="U31" i="1" s="1"/>
  <c r="T32" i="1"/>
  <c r="T33" i="1"/>
  <c r="U33" i="1" s="1"/>
  <c r="T34" i="1"/>
  <c r="U34" i="1" s="1"/>
  <c r="T35" i="1"/>
  <c r="U35" i="1" s="1"/>
  <c r="T36" i="1"/>
  <c r="T37" i="1"/>
  <c r="T38" i="1"/>
  <c r="U38" i="1" s="1"/>
  <c r="T39" i="1"/>
  <c r="U39" i="1" s="1"/>
  <c r="T40" i="1"/>
  <c r="U40" i="1" s="1"/>
  <c r="T41" i="1"/>
  <c r="U41" i="1" s="1"/>
  <c r="T42" i="1"/>
  <c r="U42" i="1" s="1"/>
  <c r="T43" i="1"/>
  <c r="T44" i="1"/>
  <c r="U44" i="1" s="1"/>
  <c r="T45" i="1"/>
  <c r="T46" i="1"/>
  <c r="U46" i="1" s="1"/>
  <c r="T47" i="1"/>
  <c r="T48" i="1"/>
  <c r="U48" i="1" s="1"/>
  <c r="T49" i="1"/>
  <c r="T50" i="1"/>
  <c r="U50" i="1" s="1"/>
  <c r="T51" i="1"/>
  <c r="U51" i="1" s="1"/>
  <c r="T52" i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T60" i="1"/>
  <c r="U60" i="1" s="1"/>
  <c r="T61" i="1"/>
  <c r="U61" i="1" s="1"/>
  <c r="T62" i="1"/>
  <c r="T63" i="1"/>
  <c r="T64" i="1"/>
  <c r="U64" i="1" s="1"/>
  <c r="T65" i="1"/>
  <c r="U65" i="1" s="1"/>
  <c r="T66" i="1"/>
  <c r="U66" i="1" s="1"/>
  <c r="T67" i="1"/>
  <c r="T68" i="1"/>
  <c r="U68" i="1" s="1"/>
  <c r="T69" i="1"/>
  <c r="U69" i="1" s="1"/>
  <c r="T70" i="1"/>
  <c r="U70" i="1" s="1"/>
  <c r="T24" i="1"/>
  <c r="U24" i="1" s="1"/>
  <c r="O25" i="1"/>
  <c r="P25" i="1" s="1"/>
  <c r="O26" i="1"/>
  <c r="P26" i="1" s="1"/>
  <c r="O27" i="1"/>
  <c r="P27" i="1" s="1"/>
  <c r="O28" i="1"/>
  <c r="O29" i="1"/>
  <c r="P29" i="1" s="1"/>
  <c r="O30" i="1"/>
  <c r="P30" i="1" s="1"/>
  <c r="O31" i="1"/>
  <c r="P31" i="1" s="1"/>
  <c r="O32" i="1"/>
  <c r="O33" i="1"/>
  <c r="P33" i="1" s="1"/>
  <c r="O34" i="1"/>
  <c r="P34" i="1" s="1"/>
  <c r="O35" i="1"/>
  <c r="P35" i="1" s="1"/>
  <c r="O36" i="1"/>
  <c r="O37" i="1"/>
  <c r="P37" i="1" s="1"/>
  <c r="O38" i="1"/>
  <c r="P38" i="1" s="1"/>
  <c r="O39" i="1"/>
  <c r="P39" i="1" s="1"/>
  <c r="O40" i="1"/>
  <c r="P40" i="1" s="1"/>
  <c r="O41" i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O49" i="1"/>
  <c r="P49" i="1" s="1"/>
  <c r="O50" i="1"/>
  <c r="P50" i="1" s="1"/>
  <c r="O51" i="1"/>
  <c r="P51" i="1" s="1"/>
  <c r="O52" i="1"/>
  <c r="O53" i="1"/>
  <c r="P53" i="1" s="1"/>
  <c r="O54" i="1"/>
  <c r="P54" i="1" s="1"/>
  <c r="O55" i="1"/>
  <c r="P55" i="1" s="1"/>
  <c r="O56" i="1"/>
  <c r="P56" i="1" s="1"/>
  <c r="O57" i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O65" i="1"/>
  <c r="P65" i="1" s="1"/>
  <c r="O66" i="1"/>
  <c r="P66" i="1" s="1"/>
  <c r="O67" i="1"/>
  <c r="P67" i="1" s="1"/>
  <c r="O68" i="1"/>
  <c r="O69" i="1"/>
  <c r="P69" i="1" s="1"/>
  <c r="O70" i="1"/>
  <c r="P70" i="1" s="1"/>
  <c r="O24" i="1"/>
  <c r="P24" i="1" s="1"/>
  <c r="J25" i="1"/>
  <c r="K25" i="1" s="1"/>
  <c r="J26" i="1"/>
  <c r="K26" i="1" s="1"/>
  <c r="J27" i="1"/>
  <c r="J28" i="1"/>
  <c r="J29" i="1"/>
  <c r="K29" i="1" s="1"/>
  <c r="J30" i="1"/>
  <c r="J31" i="1"/>
  <c r="K31" i="1" s="1"/>
  <c r="J32" i="1"/>
  <c r="J33" i="1"/>
  <c r="K33" i="1" s="1"/>
  <c r="J34" i="1"/>
  <c r="J35" i="1"/>
  <c r="J36" i="1"/>
  <c r="J37" i="1"/>
  <c r="K37" i="1" s="1"/>
  <c r="J38" i="1"/>
  <c r="J39" i="1"/>
  <c r="K39" i="1" s="1"/>
  <c r="J40" i="1"/>
  <c r="K40" i="1" s="1"/>
  <c r="J41" i="1"/>
  <c r="K41" i="1" s="1"/>
  <c r="J42" i="1"/>
  <c r="K42" i="1" s="1"/>
  <c r="J43" i="1"/>
  <c r="J44" i="1"/>
  <c r="J45" i="1"/>
  <c r="J46" i="1"/>
  <c r="K46" i="1" s="1"/>
  <c r="J47" i="1"/>
  <c r="J48" i="1"/>
  <c r="J49" i="1"/>
  <c r="J50" i="1"/>
  <c r="K50" i="1" s="1"/>
  <c r="J51" i="1"/>
  <c r="J52" i="1"/>
  <c r="K52" i="1" s="1"/>
  <c r="J53" i="1"/>
  <c r="K53" i="1" s="1"/>
  <c r="J54" i="1"/>
  <c r="K54" i="1" s="1"/>
  <c r="J55" i="1"/>
  <c r="J56" i="1"/>
  <c r="J57" i="1"/>
  <c r="K57" i="1" s="1"/>
  <c r="J58" i="1"/>
  <c r="K58" i="1" s="1"/>
  <c r="J59" i="1"/>
  <c r="J60" i="1"/>
  <c r="K60" i="1" s="1"/>
  <c r="J61" i="1"/>
  <c r="J62" i="1"/>
  <c r="K62" i="1" s="1"/>
  <c r="J63" i="1"/>
  <c r="J64" i="1"/>
  <c r="J65" i="1"/>
  <c r="J66" i="1"/>
  <c r="K66" i="1" s="1"/>
  <c r="J67" i="1"/>
  <c r="J68" i="1"/>
  <c r="K68" i="1" s="1"/>
  <c r="J69" i="1"/>
  <c r="J70" i="1"/>
  <c r="J24" i="1"/>
  <c r="D14" i="1"/>
  <c r="D13" i="1"/>
  <c r="D12" i="1"/>
  <c r="D11" i="1"/>
  <c r="D10" i="1"/>
  <c r="C14" i="1"/>
  <c r="C13" i="1"/>
  <c r="C12" i="1"/>
  <c r="C11" i="1"/>
  <c r="C10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4" i="1"/>
  <c r="P68" i="1"/>
  <c r="U67" i="1"/>
  <c r="P64" i="1"/>
  <c r="U63" i="1"/>
  <c r="U62" i="1"/>
  <c r="V22" i="1"/>
  <c r="Q22" i="1"/>
  <c r="L22" i="1"/>
  <c r="K28" i="1"/>
  <c r="P28" i="1"/>
  <c r="U28" i="1"/>
  <c r="K30" i="1"/>
  <c r="K32" i="1"/>
  <c r="P32" i="1"/>
  <c r="U32" i="1"/>
  <c r="K34" i="1"/>
  <c r="K35" i="1"/>
  <c r="K36" i="1"/>
  <c r="P36" i="1"/>
  <c r="U36" i="1"/>
  <c r="U37" i="1"/>
  <c r="K38" i="1"/>
  <c r="P41" i="1"/>
  <c r="U43" i="1"/>
  <c r="U45" i="1"/>
  <c r="U47" i="1"/>
  <c r="P48" i="1"/>
  <c r="U49" i="1"/>
  <c r="P52" i="1"/>
  <c r="U52" i="1"/>
  <c r="P57" i="1"/>
  <c r="U59" i="1"/>
  <c r="N22" i="1"/>
  <c r="O22" i="1"/>
  <c r="P22" i="1"/>
  <c r="S22" i="1"/>
  <c r="T22" i="1"/>
  <c r="U22" i="1"/>
  <c r="U25" i="1"/>
  <c r="U26" i="1"/>
  <c r="U27" i="1"/>
  <c r="N73" i="1"/>
  <c r="N19" i="1"/>
  <c r="S73" i="1"/>
  <c r="S19" i="1"/>
  <c r="N74" i="1"/>
  <c r="N20" i="1"/>
  <c r="O74" i="1"/>
  <c r="O20" i="1"/>
  <c r="S74" i="1"/>
  <c r="S20" i="1" s="1"/>
  <c r="T74" i="1"/>
  <c r="T20" i="1" s="1"/>
  <c r="J74" i="1"/>
  <c r="J20" i="1" s="1"/>
  <c r="K27" i="1"/>
  <c r="I74" i="1"/>
  <c r="I20" i="1" s="1"/>
  <c r="I73" i="1"/>
  <c r="I19" i="1" s="1"/>
  <c r="K24" i="1"/>
  <c r="I22" i="1"/>
  <c r="J22" i="1"/>
  <c r="K22" i="1"/>
  <c r="K43" i="1"/>
  <c r="K44" i="1"/>
  <c r="K45" i="1"/>
  <c r="K47" i="1"/>
  <c r="K48" i="1"/>
  <c r="K49" i="1"/>
  <c r="K51" i="1"/>
  <c r="K55" i="1"/>
  <c r="K56" i="1"/>
  <c r="K59" i="1"/>
  <c r="K61" i="1"/>
  <c r="K63" i="1"/>
  <c r="K64" i="1"/>
  <c r="K65" i="1"/>
  <c r="K67" i="1"/>
  <c r="K69" i="1"/>
  <c r="K70" i="1"/>
  <c r="T73" i="1" l="1"/>
  <c r="T19" i="1" s="1"/>
  <c r="B4" i="1"/>
  <c r="J73" i="1"/>
  <c r="J19" i="1" s="1"/>
  <c r="O73" i="1"/>
  <c r="O19" i="1" s="1"/>
  <c r="P73" i="1"/>
  <c r="P19" i="1" s="1"/>
  <c r="X7" i="1"/>
  <c r="U73" i="1"/>
  <c r="U74" i="1" s="1"/>
  <c r="U20" i="1" s="1"/>
  <c r="K73" i="1"/>
  <c r="K19" i="1" s="1"/>
  <c r="Q77" i="1"/>
  <c r="L77" i="1"/>
  <c r="V77" i="1"/>
  <c r="P74" i="1" l="1"/>
  <c r="P20" i="1" s="1"/>
  <c r="Q73" i="1"/>
  <c r="Q19" i="1" s="1"/>
  <c r="Q20" i="1" s="1"/>
  <c r="L73" i="1"/>
  <c r="L74" i="1" s="1"/>
  <c r="K74" i="1"/>
  <c r="K20" i="1" s="1"/>
  <c r="V73" i="1"/>
  <c r="V74" i="1" s="1"/>
  <c r="U19" i="1"/>
  <c r="Q74" i="1" l="1"/>
  <c r="V19" i="1"/>
  <c r="V20" i="1" s="1"/>
  <c r="L19" i="1"/>
  <c r="L20" i="1" s="1"/>
</calcChain>
</file>

<file path=xl/sharedStrings.xml><?xml version="1.0" encoding="utf-8"?>
<sst xmlns="http://schemas.openxmlformats.org/spreadsheetml/2006/main" count="517" uniqueCount="345">
  <si>
    <t>Item#</t>
  </si>
  <si>
    <t>Description</t>
  </si>
  <si>
    <t>Mfg</t>
  </si>
  <si>
    <t>Mfg P/N</t>
  </si>
  <si>
    <t>Loc</t>
  </si>
  <si>
    <t>Qty</t>
  </si>
  <si>
    <t>Price</t>
  </si>
  <si>
    <t>Total</t>
  </si>
  <si>
    <t>Notes</t>
  </si>
  <si>
    <t>Adj. Total</t>
  </si>
  <si>
    <t>Longest Lead Time:</t>
  </si>
  <si>
    <t>QQTY</t>
  </si>
  <si>
    <t>QQTY2</t>
  </si>
  <si>
    <t>QQTY3</t>
  </si>
  <si>
    <t xml:space="preserve">Total Components: </t>
  </si>
  <si>
    <t>Multiplier ^</t>
  </si>
  <si>
    <t>SMT/TH</t>
  </si>
  <si>
    <t xml:space="preserve">SMT: </t>
  </si>
  <si>
    <t>Referral by:</t>
  </si>
  <si>
    <t xml:space="preserve">Hand Assy: </t>
  </si>
  <si>
    <t>Attr. Cost</t>
  </si>
  <si>
    <t>Total w/ atr</t>
  </si>
  <si>
    <t>Total attrition cost for run:</t>
  </si>
  <si>
    <t>weeks to ship</t>
  </si>
  <si>
    <t>Components</t>
  </si>
  <si>
    <t>TOTAL</t>
  </si>
  <si>
    <t>Lines</t>
  </si>
  <si>
    <t xml:space="preserve">Through Hole: </t>
  </si>
  <si>
    <t>notes:</t>
  </si>
  <si>
    <t>CHECK FOR BLANK PRICING</t>
  </si>
  <si>
    <t>lines missing prices!</t>
  </si>
  <si>
    <t>Oz</t>
  </si>
  <si>
    <t>Cubic inches</t>
  </si>
  <si>
    <t>Total Area</t>
  </si>
  <si>
    <t>Both sides of Board</t>
  </si>
  <si>
    <t>Viscosity &amp; Wastage factor</t>
  </si>
  <si>
    <t>Thickness of coating</t>
  </si>
  <si>
    <t>Width of board
in inches</t>
  </si>
  <si>
    <t>Length of board
in inches</t>
  </si>
  <si>
    <t>Conformal Coating Volume Calculations</t>
  </si>
  <si>
    <t>Locations</t>
  </si>
  <si>
    <t>Number of locations</t>
  </si>
  <si>
    <t>Inch</t>
  </si>
  <si>
    <t>Epoxy Volume Calculations</t>
  </si>
  <si>
    <t>RTV Silicone Volume Calculations</t>
  </si>
  <si>
    <t>Perimeter</t>
  </si>
  <si>
    <t>Default HEIGHT</t>
  </si>
  <si>
    <t>(By default, x 3mm=0.11")</t>
  </si>
  <si>
    <t>Length of part</t>
  </si>
  <si>
    <t>Width of part</t>
  </si>
  <si>
    <t>(By default,
 x 1.2)</t>
  </si>
  <si>
    <t>(By default x2)</t>
  </si>
  <si>
    <t>(By default, x 2.54mm=0.1")</t>
  </si>
  <si>
    <t>HEAT SINK GREASE Volume Calculations</t>
  </si>
  <si>
    <t>(By default, x 0.1")</t>
  </si>
  <si>
    <t>Potting compound Volume Calculations</t>
  </si>
  <si>
    <t>Area of Cap
in inches sq.</t>
  </si>
  <si>
    <t>Depth of Cap in inches</t>
  </si>
  <si>
    <t>Setup &amp; Wastage factor
(By default x 1.2)</t>
  </si>
  <si>
    <t>Total Area
Cubic inches</t>
  </si>
  <si>
    <t>Total Area
Oz</t>
  </si>
  <si>
    <t xml:space="preserve">Fine Pitch, QFP, QFN, or BGA: </t>
  </si>
  <si>
    <t>Conformal Coating 
part number</t>
  </si>
  <si>
    <t>Change Date</t>
  </si>
  <si>
    <t>Changed By</t>
  </si>
  <si>
    <t>Changes</t>
  </si>
  <si>
    <t>Line/Item Affected</t>
  </si>
  <si>
    <t>REVISION RECORD for BOM Quote Template</t>
  </si>
  <si>
    <t xml:space="preserve">Fine Pitch, QFP, QFN, or BGA  </t>
  </si>
  <si>
    <t>Chemicals pricing</t>
  </si>
  <si>
    <t>Added for better understanding and to show others how pricing was calculated</t>
  </si>
  <si>
    <t>Rev</t>
  </si>
  <si>
    <t>A</t>
  </si>
  <si>
    <t>B</t>
  </si>
  <si>
    <t>Abhishek Patel</t>
  </si>
  <si>
    <t>Added for better understanding and clearing concepts</t>
  </si>
  <si>
    <t>(By default 20%, x 0.2 )</t>
  </si>
  <si>
    <t>1A33</t>
  </si>
  <si>
    <t>https://www.ellsworth.com/products/by-manufacturer/humiseal/conformal-coatings/polyurethane/humiseal-1a33-polyurethane-conformal-coating-clear-263-g-aerosol/</t>
  </si>
  <si>
    <t>Qty per can 
263g = 9.27705 Oz</t>
  </si>
  <si>
    <t>Price per can</t>
  </si>
  <si>
    <t>Oz per board</t>
  </si>
  <si>
    <t>Number of boards</t>
  </si>
  <si>
    <t>Total number of oz</t>
  </si>
  <si>
    <t>Total number of cans</t>
  </si>
  <si>
    <t>Total price</t>
  </si>
  <si>
    <t>Price per board</t>
  </si>
  <si>
    <t>Lookup this website every time for latest pricing</t>
  </si>
  <si>
    <t>Conformal Coating Pricing Calculations</t>
  </si>
  <si>
    <t>BRAINSIM QI TRANSMITTER V1.0 BOM QUOTE 4-8-25</t>
  </si>
  <si>
    <t>10 µF ±20% 6.3V Ceramic Capacitor X5R 0402 (1005 Metric)</t>
  </si>
  <si>
    <t>25V 10uF X5R ±10% 0805 Multilayer Ceramic Capacitors MLCC - SMD/SMT ROHS</t>
  </si>
  <si>
    <t>4.7 µF ±10% 10V Ceramic Capacitor X5R 0402 (1005 Metric)</t>
  </si>
  <si>
    <t>0.047 µF ±5% 50V Ceramic Capacitor C0G, NP0 1206 (3216 Metric)</t>
  </si>
  <si>
    <t>10000 pF ±1% 25V Ceramic Capacitor C0G, NP0 0603 (1608 Metric)</t>
  </si>
  <si>
    <t>16V 4.7uF X5R ±10% 0603 Multilayer Ceramic Capacitors MLCC - SMD/SMT ROHS</t>
  </si>
  <si>
    <t>25V 1uF X5R ±10% 0402 Multilayer Ceramic Capacitors MLCC - SMD/SMT ROHS</t>
  </si>
  <si>
    <t>0.1 µF ±5% 6.3V Ceramic Capacitor X5R 0201 (0603 Metric)</t>
  </si>
  <si>
    <t>1 pF ±0.05pF 50V Ceramic Capacitor C0G, NP0 0402 (1005 Metric)</t>
  </si>
  <si>
    <t>1.2 pF ±0.05pF 50V Ceramic Capacitor C0G, NP0 0402 (1005 Metric)</t>
  </si>
  <si>
    <t>50V 100pF C0G ±5% 0201 Multilayer Ceramic Capacitors MLCC - SMD/SMT ROHS</t>
  </si>
  <si>
    <t>16 pF ±5% 50V Ceramic Capacitor C0G, NP0 0201 (0603 Metric)</t>
  </si>
  <si>
    <t>0.047 µF ±10% 6.3V Ceramic Capacitor X5R 0201 (0603 Metric)</t>
  </si>
  <si>
    <t>1 µF ±10% 6.3V Ceramic Capacitor X5R 0201 (0603 Metric)</t>
  </si>
  <si>
    <t>10 pF ±5% 50V Ceramic Capacitor C0G, NP0 0201 (0603 Metric)</t>
  </si>
  <si>
    <t>22 µF ±20% 10V Ceramic Capacitor X7R 0805 (2012 Metric)</t>
  </si>
  <si>
    <t>9.4A 18.6V 5.6V Bidirectional 5V SOD-523 ESD and Surge Protection (TVS/ESD) ROHS</t>
  </si>
  <si>
    <t>2.2 µH Shielded Molded Inductor 8 A 23.5mOhm Max 1616 (4040 Metric)</t>
  </si>
  <si>
    <t>1 Coil, 2 Layer 6.8µH Wireless Charging Coil Transmitter 125mOhm Max</t>
  </si>
  <si>
    <t xml:space="preserve">	
10uH ±20% 90mA 1.05Ω 0603 Inductors (SMD) ROHS</t>
  </si>
  <si>
    <t>15 nH Unshielded Multilayer Inductor 450 mA 320mOhm Max 0402 (1005 Metric)</t>
  </si>
  <si>
    <t>700mA 4.7nH 160mΩ 0402 Inductors (SMD) ROHS</t>
  </si>
  <si>
    <t xml:space="preserve">	
900mA 2.2nH 90mΩ 0402 Inductors (SMD) ROHS</t>
  </si>
  <si>
    <t>Red 631nm LED Indication - Discrete 2V 0603 (1608 Metric)</t>
  </si>
  <si>
    <t>N-Channel 20 V 1.4A (Ta) 500mW (Ta) Surface Mount PG-SOT323</t>
  </si>
  <si>
    <t>2.2 kOhms ±5% 0.063W, 1/16W Chip Resistor 0402 (1005 Metric) Automotive AEC-Q200 Thick Film</t>
  </si>
  <si>
    <t>62.5mW Thick Film Resistors 50V ±100ppm/℃ ±1% 5.1kΩ 0402 Chip Resistor - Surface Mount ROHS</t>
  </si>
  <si>
    <t>1 Ohms ±1% 0.063W, 1/16W Chip Resistor 0402 (1005 Metric) Automotive AEC-Q200 Thick Film</t>
  </si>
  <si>
    <t>243 kOhms ±1% 0.063W, 1/16W Chip Resistor 0402 (1005 Metric) Automotive AEC-Q200 Thick Film</t>
  </si>
  <si>
    <t>62.5mW Thick Film Resistors 50V ±100ppm/℃ ±1% 10kΩ 0402 Chip Resistor - Surface Mount ROHS</t>
  </si>
  <si>
    <t>36.5 kOhms ±1% 0.05W, 1/20W Chip Resistor 0201 (0603 Metric) Moisture Resistant Thick Film</t>
  </si>
  <si>
    <t>8.25 kOhms ±0.5% 0.05W, 1/20W Chip Resistor 0201 (0603 Metric) Moisture Resistant Thick Film</t>
  </si>
  <si>
    <t>50mW Thick Film Resistors 25V ±5% 0Ω 0201 Chip Resistor - Surface Mount ROHS</t>
  </si>
  <si>
    <t>50mW Thick Film Resistors 25V ±1% ±200ppm/℃ 75kΩ 0201 Chip Resistor - Surface Mount ROHS</t>
  </si>
  <si>
    <t>10kΩ 310uA 100mW 3380K ±1% 0201 NTC Thermistors ROHS</t>
  </si>
  <si>
    <t>Oscillator, Silicon IC 488Hz ~ 2MHz 6-DFN (2x3)</t>
  </si>
  <si>
    <t>Charger IC Multi-Chemistry 8-DSBGA (1.6x1.1)</t>
  </si>
  <si>
    <t>IC RF TxRx + MCU 802.15.4, Bluetooth Bluetooth v5.0, Thread, Zigbee® 2.4GHz 48-VFQFN Exposed Pad</t>
  </si>
  <si>
    <t>32 MHz ±10ppm Crystal 10pF 100 Ohms 4-SMD, No Lead</t>
  </si>
  <si>
    <t>32.768 kHz ±20ppm Crystal 9pF 90 kOhms 2-SMD, No Lead</t>
  </si>
  <si>
    <t>1.8V~5.5V 400mA WSON-10-EP(2.5x2.5) DC-DC Converters ROHS</t>
  </si>
  <si>
    <t>300mA 68dB@(1kHz) Fixed 3.3V Positive electrode 5.5V SOT-23-5 Voltage Regulators - Linear, Low Drop Out (LDO) Regulators ROHS</t>
  </si>
  <si>
    <t>RF ANTENNA Chip Solder Surface Mount</t>
  </si>
  <si>
    <t>ADDRESSABLE RGB LED</t>
  </si>
  <si>
    <t>None Without bracket 50mA 2.6mm 500,000 times 12V 160gf 1.6mm 0.55mm Round Button Standing paste SPST SMD Tactile Switches ROHS</t>
  </si>
  <si>
    <t>5A 1 16P Female Type-C SMD USB Connectors ROHS</t>
  </si>
  <si>
    <t>Murata Electronics</t>
  </si>
  <si>
    <t>GRJ155R60J106ME11D</t>
  </si>
  <si>
    <t>Samsung Electro-Mechanics</t>
  </si>
  <si>
    <t>CL21A106KAYNNNE</t>
  </si>
  <si>
    <t>TDK Corporation</t>
  </si>
  <si>
    <t>C1005X5R1A475K050BC</t>
  </si>
  <si>
    <t>GCM31M5C1H473JA16L</t>
  </si>
  <si>
    <t>GRT1885C1E103FA02D</t>
  </si>
  <si>
    <t>CL10A475KO8NNNC</t>
  </si>
  <si>
    <t>CL05A105KA5NQNC</t>
  </si>
  <si>
    <t>GRM033R60J104JE19D</t>
  </si>
  <si>
    <t>GJM1555C1H1R0WB01D</t>
  </si>
  <si>
    <t>GJM1555C1H1R2WB01D</t>
  </si>
  <si>
    <t>GRM0335C1H101JA01D</t>
  </si>
  <si>
    <t>GRM0335C1H160JA01D</t>
  </si>
  <si>
    <t>GRM033R60J473KE19D</t>
  </si>
  <si>
    <t>CL03A105KQ3CSNH</t>
  </si>
  <si>
    <t>GRM0335C1H100JA01D</t>
  </si>
  <si>
    <t>GRM21BZ71A226ME15L</t>
  </si>
  <si>
    <t>LRC</t>
  </si>
  <si>
    <t>LESD5D5.0CT1G</t>
  </si>
  <si>
    <t>Coilcraft</t>
  </si>
  <si>
    <t>XFL4020-222MEC</t>
  </si>
  <si>
    <t>Würth Elektronik</t>
  </si>
  <si>
    <t>TDK</t>
  </si>
  <si>
    <t>MLZ1608M100WTD25</t>
  </si>
  <si>
    <t>LQG15HS15NJ02D</t>
  </si>
  <si>
    <t>LQG15HS4N7S02D</t>
  </si>
  <si>
    <t>LQG15HS2N2S02D</t>
  </si>
  <si>
    <t>Lite-On Inc.</t>
  </si>
  <si>
    <t>LTST-C193KRKT-5A</t>
  </si>
  <si>
    <t>Infineon Technologies</t>
  </si>
  <si>
    <t>BSS816NWH6327XTSA1</t>
  </si>
  <si>
    <t>Vishay Dale</t>
  </si>
  <si>
    <t>CRCW04022K20JNED</t>
  </si>
  <si>
    <t>UNI-ROYAL(Uniroyal Elec)</t>
  </si>
  <si>
    <t>0402WGF5101TCE</t>
  </si>
  <si>
    <t>CRCW04021R00FKED</t>
  </si>
  <si>
    <t>Stackpole Electronics Inc</t>
  </si>
  <si>
    <t>RMCF0402FT243K</t>
  </si>
  <si>
    <t>YAGEO</t>
  </si>
  <si>
    <t>RC0402FR-0710KL</t>
  </si>
  <si>
    <t>RC0201FR-0736K5L</t>
  </si>
  <si>
    <t>RC0201DR-078K25L</t>
  </si>
  <si>
    <t>RC0201JR-070RL</t>
  </si>
  <si>
    <t>AF0201FR-0775KL</t>
  </si>
  <si>
    <t>NTCG063JF103FTB</t>
  </si>
  <si>
    <t>Analog Devices Inc.</t>
  </si>
  <si>
    <t>LTC6990CDCB#TRPBF</t>
  </si>
  <si>
    <t>Texas Instruments</t>
  </si>
  <si>
    <t>BQ21080YBGR</t>
  </si>
  <si>
    <t>Nordic Semiconductor ASA</t>
  </si>
  <si>
    <t>NRF52840-QFAA-R</t>
  </si>
  <si>
    <t>ECS Inc.</t>
  </si>
  <si>
    <t>ECS-320-10-48-CKY-TR</t>
  </si>
  <si>
    <t>ECS-.327-9-1210-TR</t>
  </si>
  <si>
    <t>TPS63900DSKR</t>
  </si>
  <si>
    <t>TLV70233DBVT</t>
  </si>
  <si>
    <t>Johanson Technology Inc.</t>
  </si>
  <si>
    <t>2450AT42B0100001E</t>
  </si>
  <si>
    <t>OPSCO Optoelectronics</t>
  </si>
  <si>
    <t>SK6805-EC10-000</t>
  </si>
  <si>
    <t>ROCPU Switches</t>
  </si>
  <si>
    <t>TP40321116</t>
  </si>
  <si>
    <t>Korean Hroparts Elec</t>
  </si>
  <si>
    <t>TYPE-C-31-M-12</t>
  </si>
  <si>
    <t>C2</t>
  </si>
  <si>
    <t>C3, C8, C74</t>
  </si>
  <si>
    <t>C4</t>
  </si>
  <si>
    <t>C5</t>
  </si>
  <si>
    <t>C7</t>
  </si>
  <si>
    <t>C9</t>
  </si>
  <si>
    <t>C10, C76, C77</t>
  </si>
  <si>
    <t>C11, C12, C13, C14, C56, C78</t>
  </si>
  <si>
    <t>C15</t>
  </si>
  <si>
    <t>C16</t>
  </si>
  <si>
    <t>C17</t>
  </si>
  <si>
    <t>C54, C55</t>
  </si>
  <si>
    <t>C57</t>
  </si>
  <si>
    <t>C58, C59</t>
  </si>
  <si>
    <t>C72, C73</t>
  </si>
  <si>
    <t>C75</t>
  </si>
  <si>
    <t>D1</t>
  </si>
  <si>
    <t>L1</t>
  </si>
  <si>
    <t>L2</t>
  </si>
  <si>
    <t>L6</t>
  </si>
  <si>
    <t>L7</t>
  </si>
  <si>
    <t>L8</t>
  </si>
  <si>
    <t>L9</t>
  </si>
  <si>
    <t>LED1</t>
  </si>
  <si>
    <t>Q1</t>
  </si>
  <si>
    <t>R1</t>
  </si>
  <si>
    <t>R2, R3</t>
  </si>
  <si>
    <t>R4</t>
  </si>
  <si>
    <t>R5</t>
  </si>
  <si>
    <t>R6, R7, R8</t>
  </si>
  <si>
    <t>R9, R11</t>
  </si>
  <si>
    <t>R10</t>
  </si>
  <si>
    <t>R12</t>
  </si>
  <si>
    <t>R13</t>
  </si>
  <si>
    <t>R23, R24</t>
  </si>
  <si>
    <t>R25</t>
  </si>
  <si>
    <t>U2</t>
  </si>
  <si>
    <t>U3</t>
  </si>
  <si>
    <t>U4</t>
  </si>
  <si>
    <t>U32</t>
  </si>
  <si>
    <t>U57</t>
  </si>
  <si>
    <t>U58</t>
  </si>
  <si>
    <t>U60</t>
  </si>
  <si>
    <t>U61</t>
  </si>
  <si>
    <t>U63</t>
  </si>
  <si>
    <t>U64</t>
  </si>
  <si>
    <t>USBC1</t>
  </si>
  <si>
    <t>Digikey PN</t>
  </si>
  <si>
    <t>490-13211-1-ND</t>
  </si>
  <si>
    <t>1276-2891-1-ND</t>
  </si>
  <si>
    <t>445-13820-1-ND</t>
  </si>
  <si>
    <t>490-5324-1-ND</t>
  </si>
  <si>
    <t>490-GRT1885C1E103FA02DCT-ND</t>
  </si>
  <si>
    <t>1276-1784-1-ND</t>
  </si>
  <si>
    <t>1276-1445-1-ND</t>
  </si>
  <si>
    <t>490-16364-1-ND</t>
  </si>
  <si>
    <t>490-11193-1-ND</t>
  </si>
  <si>
    <t>490-11195-1-ND</t>
  </si>
  <si>
    <t>490-6113-1-ND</t>
  </si>
  <si>
    <t>490-17812-1-ND</t>
  </si>
  <si>
    <t>490-6140-1-ND</t>
  </si>
  <si>
    <t>1276-6440-1-ND</t>
  </si>
  <si>
    <t>490-6112-1-ND</t>
  </si>
  <si>
    <t>490-GRM21BZ71A226ME15LCT-ND</t>
  </si>
  <si>
    <t>2457-XFL4020-222MEC-ND</t>
  </si>
  <si>
    <t>732-9677-ND</t>
  </si>
  <si>
    <t>445-175588-1-ND</t>
  </si>
  <si>
    <t>490-2625-1-ND</t>
  </si>
  <si>
    <t>490-2618-1-ND</t>
  </si>
  <si>
    <t>490-2614-1-ND</t>
  </si>
  <si>
    <t>160-1830-1-ND</t>
  </si>
  <si>
    <t>BSS816NWH6327XTSA1CT-ND</t>
  </si>
  <si>
    <t>541-2.2KJCT-ND</t>
  </si>
  <si>
    <t>541-1.00LLCT-ND</t>
  </si>
  <si>
    <t>RMCF0402FT243KCT-ND</t>
  </si>
  <si>
    <t>311-10.0KLRCT-ND</t>
  </si>
  <si>
    <t>YAG2625CT-ND</t>
  </si>
  <si>
    <t>RC0201DR-078K25L-ND</t>
  </si>
  <si>
    <t>311-0.0NCT-ND</t>
  </si>
  <si>
    <t>AF0201FR-0775KL-ND</t>
  </si>
  <si>
    <t>445-174296-1-ND</t>
  </si>
  <si>
    <t>505-LTC6990CDCB#TRPBFCT-ND</t>
  </si>
  <si>
    <t>296-BQ21080YBGRCT-ND</t>
  </si>
  <si>
    <t>4823-NRF52840-QFAA-RTR-ND</t>
  </si>
  <si>
    <t>XC3036CT-ND</t>
  </si>
  <si>
    <t>XC2283CT-ND</t>
  </si>
  <si>
    <t>296-TPS63900DSKRCT-ND</t>
  </si>
  <si>
    <t>296-27895-1-ND</t>
  </si>
  <si>
    <t>712-2450AT42B0100001ECT-ND</t>
  </si>
  <si>
    <t>Mouser PN</t>
  </si>
  <si>
    <t>81-GRJ155R60J106ME1D</t>
  </si>
  <si>
    <t>187-CL21A106KAYNNNE</t>
  </si>
  <si>
    <t>810-C1005X5R1A475KBC</t>
  </si>
  <si>
    <t>81-GCM31M5C1H473JA6L</t>
  </si>
  <si>
    <t>81-GRT1885C1E103FA2D</t>
  </si>
  <si>
    <t>187-CL10A475KO8NNNC</t>
  </si>
  <si>
    <t>187-CL05A105KA5NQNC</t>
  </si>
  <si>
    <t>81-GRM033R60J104JE9D</t>
  </si>
  <si>
    <t>81-GJM1555C1H1R0WB1D</t>
  </si>
  <si>
    <t>81-GJM1555C1H1R2WB1D</t>
  </si>
  <si>
    <t>81-GRM0335C1H160JA1D</t>
  </si>
  <si>
    <t>81-GRM033R60J473KE19</t>
  </si>
  <si>
    <t>187-CL03A105KQ3CSNH</t>
  </si>
  <si>
    <t>81-GRM0335C1H100JA1D</t>
  </si>
  <si>
    <t>81-GRM21BZ71A226ME5L</t>
  </si>
  <si>
    <t>994-XFL4020-222MEC</t>
  </si>
  <si>
    <t>710-760308101104</t>
  </si>
  <si>
    <t>810-MLZ1608M100WTD25</t>
  </si>
  <si>
    <t>81-LQG15HS15NJ02D</t>
  </si>
  <si>
    <t>81-LQG15HS4N7S02D</t>
  </si>
  <si>
    <t>81-LQG15HS2N2S02D</t>
  </si>
  <si>
    <t>859-LTSTC193KRKT5A</t>
  </si>
  <si>
    <t>726-SP000917562</t>
  </si>
  <si>
    <t>303-0402WGF5101TCE</t>
  </si>
  <si>
    <t>71-CRCW0402-1-E3</t>
  </si>
  <si>
    <t>708-RMCF0402FT243K</t>
  </si>
  <si>
    <t>603-RC0402FR-0710KL</t>
  </si>
  <si>
    <t>603-RC0201FR-0736K5L</t>
  </si>
  <si>
    <t>603-RC0201DR-078K25L</t>
  </si>
  <si>
    <t>603-RC0201JR-070RL</t>
  </si>
  <si>
    <t>603-AF0201FR-0775KL</t>
  </si>
  <si>
    <t>810-NTCG063JF103FTB</t>
  </si>
  <si>
    <t>584-LTC6990CDCBTRPBF</t>
  </si>
  <si>
    <t>595-BQ21080YBGR</t>
  </si>
  <si>
    <t>949-NRF52840QFAA-R</t>
  </si>
  <si>
    <t>520-320-10-48-CKYT</t>
  </si>
  <si>
    <t>595-TPS63900DSKR</t>
  </si>
  <si>
    <t>595-TLV70233DBVT</t>
  </si>
  <si>
    <t>609-2450AT42B0100001</t>
  </si>
  <si>
    <t>SMT</t>
  </si>
  <si>
    <t>QFN</t>
  </si>
  <si>
    <t>Mouser</t>
  </si>
  <si>
    <t>Digi-Key</t>
  </si>
  <si>
    <t>Newark</t>
  </si>
  <si>
    <t>Not found, not quoted</t>
  </si>
  <si>
    <t>Digi-key</t>
  </si>
  <si>
    <t>Mouser (Reel of 10,000 @ $40)</t>
  </si>
  <si>
    <t>LCSC</t>
  </si>
  <si>
    <t>LCSC MOQ=100 @ $0.44</t>
  </si>
  <si>
    <t>WinSource, MOQ=2085 @ $75.06</t>
  </si>
  <si>
    <t>No Stock, 18 Weeks L/T; quoted Yageo RC0201FR-0775KL</t>
  </si>
  <si>
    <t>per Bob, Mouser 16 Weeks L/T; per Adam Yageo RC0201FR-078K25L but Tolerance is 1% instead of 0.5%</t>
  </si>
  <si>
    <t>Customer Supplied (Digi-key 16 Weeks L/T, MOQ 3000 @ $10,635.30)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</si>
</sst>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;@"/>
    <numFmt numFmtId="165" formatCode="0.00000"/>
    <numFmt numFmtId="166" formatCode="&quot;$&quot;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Tms Rmn"/>
    </font>
    <font>
      <b/>
      <sz val="16"/>
      <name val="Tms Rmn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2" borderId="27" applyNumberFormat="0" applyAlignment="0" applyProtection="0"/>
    <xf numFmtId="0" fontId="16" fillId="4" borderId="30" applyNumberFormat="0" applyAlignment="0" applyProtection="0"/>
  </cellStyleXfs>
  <cellXfs count="12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2" fontId="2" fillId="0" borderId="1" xfId="0" applyNumberFormat="1" applyFont="1" applyBorder="1"/>
    <xf numFmtId="0" fontId="3" fillId="0" borderId="0" xfId="0" applyFont="1"/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0" borderId="3" xfId="0" applyNumberFormat="1" applyFont="1" applyBorder="1"/>
    <xf numFmtId="2" fontId="1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2" fontId="1" fillId="0" borderId="9" xfId="0" applyNumberFormat="1" applyFont="1" applyBorder="1"/>
    <xf numFmtId="2" fontId="2" fillId="0" borderId="10" xfId="0" applyNumberFormat="1" applyFont="1" applyBorder="1"/>
    <xf numFmtId="2" fontId="1" fillId="0" borderId="11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10" fontId="2" fillId="0" borderId="5" xfId="0" applyNumberFormat="1" applyFont="1" applyBorder="1"/>
    <xf numFmtId="2" fontId="2" fillId="0" borderId="5" xfId="0" applyNumberFormat="1" applyFont="1" applyBorder="1"/>
    <xf numFmtId="2" fontId="1" fillId="0" borderId="10" xfId="0" applyNumberFormat="1" applyFont="1" applyBorder="1"/>
    <xf numFmtId="2" fontId="1" fillId="0" borderId="12" xfId="0" applyNumberFormat="1" applyFont="1" applyBorder="1"/>
    <xf numFmtId="2" fontId="1" fillId="0" borderId="13" xfId="0" applyNumberFormat="1" applyFont="1" applyBorder="1"/>
    <xf numFmtId="2" fontId="1" fillId="0" borderId="14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0" xfId="0" applyFont="1" applyAlignment="1">
      <alignment horizontal="left"/>
    </xf>
    <xf numFmtId="0" fontId="4" fillId="0" borderId="2" xfId="0" applyFont="1" applyBorder="1"/>
    <xf numFmtId="0" fontId="4" fillId="0" borderId="23" xfId="0" applyFont="1" applyBorder="1" applyAlignment="1">
      <alignment horizontal="left"/>
    </xf>
    <xf numFmtId="0" fontId="4" fillId="0" borderId="23" xfId="0" applyFont="1" applyBorder="1"/>
    <xf numFmtId="0" fontId="4" fillId="0" borderId="5" xfId="0" applyFont="1" applyBorder="1"/>
    <xf numFmtId="0" fontId="5" fillId="0" borderId="26" xfId="0" applyFont="1" applyBorder="1" applyAlignment="1">
      <alignment vertical="center" wrapText="1"/>
    </xf>
    <xf numFmtId="0" fontId="6" fillId="0" borderId="0" xfId="0" applyFont="1"/>
    <xf numFmtId="0" fontId="7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7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11" fillId="2" borderId="27" xfId="2" applyNumberFormat="1" applyFont="1" applyAlignment="1" applyProtection="1">
      <alignment horizontal="center"/>
      <protection locked="0"/>
    </xf>
    <xf numFmtId="0" fontId="11" fillId="2" borderId="27" xfId="2" applyFont="1" applyAlignment="1" applyProtection="1">
      <alignment horizontal="center"/>
      <protection locked="0"/>
    </xf>
    <xf numFmtId="49" fontId="11" fillId="2" borderId="27" xfId="2" applyNumberFormat="1" applyFont="1" applyAlignment="1" applyProtection="1">
      <alignment horizontal="center"/>
      <protection locked="0"/>
    </xf>
    <xf numFmtId="0" fontId="11" fillId="2" borderId="27" xfId="2" applyFont="1" applyAlignment="1" applyProtection="1">
      <alignment horizontal="left" vertical="center" wrapText="1"/>
      <protection locked="0"/>
    </xf>
    <xf numFmtId="0" fontId="11" fillId="2" borderId="27" xfId="2" applyFont="1" applyAlignment="1" applyProtection="1">
      <alignment horizontal="center" vertical="center"/>
      <protection locked="0"/>
    </xf>
    <xf numFmtId="0" fontId="12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13" fillId="0" borderId="0" xfId="0" applyFont="1" applyAlignment="1">
      <alignment vertical="top" wrapText="1"/>
    </xf>
    <xf numFmtId="49" fontId="0" fillId="0" borderId="0" xfId="0" applyNumberFormat="1"/>
    <xf numFmtId="0" fontId="9" fillId="0" borderId="0" xfId="1"/>
    <xf numFmtId="0" fontId="15" fillId="0" borderId="0" xfId="0" applyFont="1"/>
    <xf numFmtId="8" fontId="7" fillId="0" borderId="24" xfId="0" applyNumberFormat="1" applyFont="1" applyBorder="1" applyAlignment="1">
      <alignment horizontal="center" vertical="center" wrapText="1"/>
    </xf>
    <xf numFmtId="165" fontId="7" fillId="0" borderId="24" xfId="0" applyNumberFormat="1" applyFont="1" applyBorder="1" applyAlignment="1">
      <alignment horizontal="center" vertical="center" wrapText="1"/>
    </xf>
    <xf numFmtId="166" fontId="7" fillId="0" borderId="24" xfId="0" applyNumberFormat="1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7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8" fontId="1" fillId="0" borderId="1" xfId="0" quotePrefix="1" applyNumberFormat="1" applyFont="1" applyBorder="1"/>
    <xf numFmtId="1" fontId="0" fillId="0" borderId="1" xfId="0" applyNumberFormat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8" fontId="1" fillId="5" borderId="1" xfId="0" quotePrefix="1" applyNumberFormat="1" applyFont="1" applyFill="1" applyBorder="1"/>
    <xf numFmtId="2" fontId="1" fillId="5" borderId="1" xfId="0" applyNumberFormat="1" applyFont="1" applyFill="1" applyBorder="1"/>
    <xf numFmtId="0" fontId="1" fillId="5" borderId="0" xfId="0" applyFont="1" applyFill="1"/>
    <xf numFmtId="0" fontId="17" fillId="0" borderId="1" xfId="0" applyFont="1" applyBorder="1" applyAlignment="1">
      <alignment wrapText="1"/>
    </xf>
    <xf numFmtId="0" fontId="17" fillId="5" borderId="1" xfId="0" applyFont="1" applyFill="1" applyBorder="1"/>
    <xf numFmtId="0" fontId="1" fillId="0" borderId="0" xfId="0" applyFont="1" applyAlignment="1">
      <alignment wrapText="1"/>
    </xf>
    <xf numFmtId="0" fontId="17" fillId="0" borderId="0" xfId="3" applyFont="1" applyFill="1" applyBorder="1"/>
    <xf numFmtId="0" fontId="17" fillId="6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8" fontId="1" fillId="6" borderId="1" xfId="0" quotePrefix="1" applyNumberFormat="1" applyFont="1" applyFill="1" applyBorder="1"/>
    <xf numFmtId="2" fontId="1" fillId="6" borderId="1" xfId="0" applyNumberFormat="1" applyFont="1" applyFill="1" applyBorder="1"/>
    <xf numFmtId="0" fontId="1" fillId="6" borderId="0" xfId="0" applyFont="1" applyFill="1" applyAlignment="1">
      <alignment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17" fillId="7" borderId="1" xfId="0" applyFont="1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2" fontId="1" fillId="7" borderId="1" xfId="0" applyNumberFormat="1" applyFont="1" applyFill="1" applyBorder="1"/>
    <xf numFmtId="0" fontId="1" fillId="7" borderId="0" xfId="0" applyFont="1" applyFill="1" applyAlignment="1">
      <alignment wrapText="1"/>
    </xf>
  </cellXfs>
  <cellStyles count="4">
    <cellStyle name="Calculation" xfId="2" builtinId="22"/>
    <cellStyle name="Check Cell" xfId="3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5</xdr:col>
      <xdr:colOff>304800</xdr:colOff>
      <xdr:row>20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0525" y="1600200"/>
          <a:ext cx="5229225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RC0201DR-078K25L</a:t>
          </a:r>
          <a:r>
            <a:rPr lang="en-US" sz="1200"/>
            <a:t>: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 Weeks L/T, possible sub Yageo RC0201FR-078K25L but Tolerance is 1% instead of 0.5%;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AF0201FR-0775KL</a:t>
          </a:r>
          <a:r>
            <a:rPr lang="en-US" sz="1200"/>
            <a:t>: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 Weeks L/T, quoted sub Yageo RC0201FR-0775KL (plenty of stock);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LESD5D5.0CT1G MOQ 2085 @ $75.06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(not included in piece price); 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NRF52840-QFAA-R</a:t>
          </a:r>
          <a:r>
            <a:rPr lang="en-US" sz="1200"/>
            <a:t>: Customer Supplied (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 Weeks L/T,</a:t>
          </a:r>
          <a:r>
            <a:rPr lang="en-US" sz="1200"/>
            <a:t> MOQ 3000</a:t>
          </a:r>
          <a:r>
            <a:rPr lang="en-US" sz="1200" baseline="0"/>
            <a:t> @ MOQ 3000 @ $10,635.30); 0402WGF5101TCE MOQ 10,000 @ $40 (not included in piece price);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SK6805-EC10-000</a:t>
          </a:r>
          <a:r>
            <a:rPr lang="en-US" sz="1200"/>
            <a:t>: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found, not quoted.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104775</xdr:rowOff>
    </xdr:from>
    <xdr:to>
      <xdr:col>14</xdr:col>
      <xdr:colOff>504825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5BB82B-A932-26F5-B2EF-8042F7EDB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04775"/>
          <a:ext cx="788670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104775</xdr:colOff>
      <xdr:row>0</xdr:row>
      <xdr:rowOff>76200</xdr:rowOff>
    </xdr:from>
    <xdr:to>
      <xdr:col>26</xdr:col>
      <xdr:colOff>457200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62D2DC-2D92-65EE-529D-7B394133B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76200"/>
          <a:ext cx="7058025" cy="458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20</xdr:row>
      <xdr:rowOff>171450</xdr:rowOff>
    </xdr:from>
    <xdr:to>
      <xdr:col>14</xdr:col>
      <xdr:colOff>390525</xdr:colOff>
      <xdr:row>35</xdr:row>
      <xdr:rowOff>123825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EF6350C-0B45-4935-1BBD-19BA2A44394B}"/>
            </a:ext>
          </a:extLst>
        </xdr:cNvPr>
        <xdr:cNvGrpSpPr/>
      </xdr:nvGrpSpPr>
      <xdr:grpSpPr>
        <a:xfrm>
          <a:off x="5114925" y="3981450"/>
          <a:ext cx="3810000" cy="2809875"/>
          <a:chOff x="5114925" y="3981450"/>
          <a:chExt cx="3810000" cy="280987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174A9C8-44DA-4E28-C8FC-C721559170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4925" y="3981450"/>
            <a:ext cx="3810000" cy="2809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A794B93-F4D7-3D17-98EF-52AD077CCD1C}"/>
              </a:ext>
            </a:extLst>
          </xdr:cNvPr>
          <xdr:cNvSpPr txBox="1"/>
        </xdr:nvSpPr>
        <xdr:spPr>
          <a:xfrm>
            <a:off x="5143500" y="3990975"/>
            <a:ext cx="762000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QFP</a:t>
            </a:r>
          </a:p>
        </xdr:txBody>
      </xdr:sp>
    </xdr:grpSp>
    <xdr:clientData/>
  </xdr:twoCellAnchor>
  <xdr:twoCellAnchor>
    <xdr:from>
      <xdr:col>15</xdr:col>
      <xdr:colOff>209550</xdr:colOff>
      <xdr:row>25</xdr:row>
      <xdr:rowOff>9525</xdr:rowOff>
    </xdr:from>
    <xdr:to>
      <xdr:col>24</xdr:col>
      <xdr:colOff>438150</xdr:colOff>
      <xdr:row>34</xdr:row>
      <xdr:rowOff>104775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EA2885F-2F8A-A96A-06D5-1638BBEA1FDA}"/>
            </a:ext>
          </a:extLst>
        </xdr:cNvPr>
        <xdr:cNvGrpSpPr/>
      </xdr:nvGrpSpPr>
      <xdr:grpSpPr>
        <a:xfrm>
          <a:off x="9353550" y="4772025"/>
          <a:ext cx="5715000" cy="1809750"/>
          <a:chOff x="9353550" y="4772025"/>
          <a:chExt cx="5715000" cy="18097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5A48C26-F5F9-6CC9-6446-8BDE61DDAD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53550" y="4829175"/>
            <a:ext cx="5715000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566F577-5440-4605-A6B6-0000E35AA069}"/>
              </a:ext>
            </a:extLst>
          </xdr:cNvPr>
          <xdr:cNvSpPr txBox="1"/>
        </xdr:nvSpPr>
        <xdr:spPr>
          <a:xfrm>
            <a:off x="12925425" y="4772025"/>
            <a:ext cx="762000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QFN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i-serv2\purchasing\%23OPEN%23\attr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QTY</v>
          </cell>
          <cell r="B1" t="str">
            <v>COST</v>
          </cell>
        </row>
        <row r="2">
          <cell r="A2">
            <v>250</v>
          </cell>
          <cell r="B2">
            <v>1E-4</v>
          </cell>
        </row>
        <row r="3">
          <cell r="A3">
            <v>150</v>
          </cell>
          <cell r="B3">
            <v>0.04</v>
          </cell>
        </row>
        <row r="4">
          <cell r="A4">
            <v>100</v>
          </cell>
          <cell r="B4">
            <v>7.0000000000000007E-2</v>
          </cell>
        </row>
        <row r="5">
          <cell r="A5">
            <v>35</v>
          </cell>
          <cell r="B5">
            <v>0.15</v>
          </cell>
        </row>
        <row r="6">
          <cell r="A6">
            <v>20</v>
          </cell>
          <cell r="B6">
            <v>0.25</v>
          </cell>
        </row>
        <row r="7">
          <cell r="A7">
            <v>15</v>
          </cell>
          <cell r="B7">
            <v>0.35</v>
          </cell>
        </row>
        <row r="8">
          <cell r="A8">
            <v>10</v>
          </cell>
          <cell r="B8">
            <v>0.5</v>
          </cell>
        </row>
        <row r="9">
          <cell r="A9">
            <v>5</v>
          </cell>
          <cell r="B9">
            <v>1</v>
          </cell>
        </row>
        <row r="10">
          <cell r="A10">
            <v>5</v>
          </cell>
          <cell r="B10">
            <v>1.5</v>
          </cell>
        </row>
        <row r="11">
          <cell r="A11">
            <v>2</v>
          </cell>
          <cell r="B11">
            <v>2.5</v>
          </cell>
        </row>
        <row r="12">
          <cell r="A12">
            <v>0</v>
          </cell>
          <cell r="B1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llsworth.com/products/by-manufacturer/humiseal/conformal-coatings/polyurethane/humiseal-1a33-polyurethane-conformal-coating-clear-263-g-aeroso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B77"/>
  <sheetViews>
    <sheetView tabSelected="1" zoomScale="85" zoomScaleNormal="85" workbookViewId="0"/>
  </sheetViews>
  <sheetFormatPr defaultRowHeight="14.25" x14ac:dyDescent="0.2"/>
  <cols>
    <col min="1" max="1" width="5.85546875" style="3" customWidth="1"/>
    <col min="2" max="2" width="65.42578125" style="1" customWidth="1"/>
    <col min="3" max="3" width="26.42578125" style="1" bestFit="1" customWidth="1"/>
    <col min="4" max="4" width="23.140625" style="1" bestFit="1" customWidth="1"/>
    <col min="5" max="5" width="8.5703125" style="1" customWidth="1"/>
    <col min="6" max="6" width="9.28515625" style="1" bestFit="1" customWidth="1"/>
    <col min="7" max="7" width="26.5703125" style="1" bestFit="1" customWidth="1"/>
    <col min="8" max="8" width="7.85546875" style="1" bestFit="1" customWidth="1"/>
    <col min="9" max="9" width="8.7109375" style="2" bestFit="1" customWidth="1"/>
    <col min="10" max="10" width="10.28515625" style="1" customWidth="1"/>
    <col min="11" max="11" width="9.42578125" style="1" bestFit="1" customWidth="1"/>
    <col min="12" max="12" width="9.42578125" style="1" customWidth="1"/>
    <col min="13" max="13" width="7.5703125" style="1" bestFit="1" customWidth="1"/>
    <col min="14" max="14" width="8.7109375" style="2" bestFit="1" customWidth="1"/>
    <col min="15" max="15" width="8.42578125" style="1" customWidth="1"/>
    <col min="16" max="16" width="9.42578125" style="1" bestFit="1" customWidth="1"/>
    <col min="17" max="17" width="9.42578125" style="1" customWidth="1"/>
    <col min="18" max="18" width="8.5703125" style="1" bestFit="1" customWidth="1"/>
    <col min="19" max="19" width="8.7109375" style="2" bestFit="1" customWidth="1"/>
    <col min="20" max="20" width="8.7109375" style="1" customWidth="1"/>
    <col min="21" max="21" width="9.42578125" style="1" bestFit="1" customWidth="1"/>
    <col min="22" max="22" width="9.42578125" style="1" customWidth="1"/>
    <col min="23" max="23" width="31.28515625" style="1" customWidth="1"/>
    <col min="24" max="24" width="32.42578125" style="1" bestFit="1" customWidth="1"/>
    <col min="25" max="25" width="26.42578125" style="1" bestFit="1" customWidth="1"/>
    <col min="26" max="16384" width="9.140625" style="1"/>
  </cols>
  <sheetData>
    <row r="2" spans="1:27" s="15" customFormat="1" ht="18" x14ac:dyDescent="0.25">
      <c r="A2" s="14"/>
      <c r="B2" s="15" t="s">
        <v>89</v>
      </c>
      <c r="I2" s="16"/>
      <c r="N2" s="17"/>
      <c r="S2" s="17"/>
    </row>
    <row r="3" spans="1:27" ht="15" x14ac:dyDescent="0.2">
      <c r="B3" s="10"/>
      <c r="I3" s="8"/>
    </row>
    <row r="4" spans="1:27" ht="18" x14ac:dyDescent="0.25">
      <c r="B4" s="51">
        <f>COUNTIF(AB24:AB70,"ERROR")</f>
        <v>2</v>
      </c>
      <c r="C4" s="52" t="s">
        <v>30</v>
      </c>
      <c r="D4" s="53"/>
      <c r="E4" s="54"/>
      <c r="I4" s="8"/>
    </row>
    <row r="5" spans="1:27" ht="15.75" thickBot="1" x14ac:dyDescent="0.25">
      <c r="B5" s="10"/>
      <c r="I5" s="8"/>
    </row>
    <row r="6" spans="1:27" s="15" customFormat="1" ht="18.75" thickBot="1" x14ac:dyDescent="0.3">
      <c r="A6" s="14"/>
      <c r="B6" s="44" t="s">
        <v>18</v>
      </c>
      <c r="C6" s="114"/>
      <c r="D6" s="115"/>
      <c r="I6" s="16"/>
      <c r="N6" s="17"/>
      <c r="S6" s="17"/>
    </row>
    <row r="7" spans="1:27" s="15" customFormat="1" ht="18.75" thickBot="1" x14ac:dyDescent="0.3">
      <c r="A7" s="14"/>
      <c r="B7" s="44" t="s">
        <v>10</v>
      </c>
      <c r="C7" s="48">
        <v>18</v>
      </c>
      <c r="D7" s="49" t="s">
        <v>23</v>
      </c>
      <c r="N7" s="17"/>
      <c r="S7" s="17"/>
      <c r="X7" s="51">
        <f>COUNTIF(AB24:AB70,"ERROR")</f>
        <v>2</v>
      </c>
      <c r="Y7" s="52" t="s">
        <v>30</v>
      </c>
      <c r="Z7" s="53"/>
      <c r="AA7" s="54"/>
    </row>
    <row r="8" spans="1:27" s="15" customFormat="1" ht="18.75" thickBot="1" x14ac:dyDescent="0.3">
      <c r="A8" s="14"/>
      <c r="B8" s="45"/>
      <c r="C8" s="46"/>
      <c r="D8" s="47"/>
      <c r="I8" s="16"/>
      <c r="N8" s="17"/>
      <c r="S8" s="17"/>
    </row>
    <row r="9" spans="1:27" s="15" customFormat="1" ht="18" x14ac:dyDescent="0.25">
      <c r="A9" s="14"/>
      <c r="B9" s="36" t="s">
        <v>14</v>
      </c>
      <c r="C9" s="37" t="s">
        <v>24</v>
      </c>
      <c r="D9" s="38" t="s">
        <v>26</v>
      </c>
      <c r="I9" s="16"/>
      <c r="N9" s="17"/>
      <c r="S9" s="17"/>
    </row>
    <row r="10" spans="1:27" s="15" customFormat="1" ht="18" x14ac:dyDescent="0.25">
      <c r="A10" s="14"/>
      <c r="B10" s="39" t="s">
        <v>17</v>
      </c>
      <c r="C10" s="35">
        <f>SUMIF(F24:F70,"SMT",E24:E70)+SUMIF(F24:F70,"SMD",E24:E70)</f>
        <v>62</v>
      </c>
      <c r="D10" s="40">
        <f>COUNTIFS(F24:F70,"SMT")+COUNTIFS(F24:F70,"SMD")</f>
        <v>45</v>
      </c>
      <c r="I10" s="16"/>
      <c r="N10" s="17"/>
      <c r="S10" s="17"/>
    </row>
    <row r="11" spans="1:27" s="15" customFormat="1" ht="18" x14ac:dyDescent="0.25">
      <c r="A11" s="14"/>
      <c r="B11" s="39" t="s">
        <v>61</v>
      </c>
      <c r="C11" s="35">
        <f>SUMIF(F24:F70,"QFN",E24:E70)+SUMIF(F24:F70,"BGA",E24:E70)+SUMIF(F24:F70,"QFP",E24:E70)+SUMIF(F24:F70,"FINE PITCH",E24:E70)</f>
        <v>1</v>
      </c>
      <c r="D11" s="40">
        <f>COUNTIFS(F24:F70,"QFN",E24:E70,"&lt;&gt;")+COUNTIFS(F24:F70,"BGA",E24:E70,"&lt;&gt;")+COUNTIFS(F24:F70,"QFP",E24:E70,"&lt;&gt;")+COUNTIFS(F24:F70,"FINE PITCH",E24:E70,"&lt;&gt;")</f>
        <v>1</v>
      </c>
      <c r="I11" s="16"/>
      <c r="N11" s="17"/>
      <c r="S11" s="17"/>
    </row>
    <row r="12" spans="1:27" s="15" customFormat="1" ht="18" x14ac:dyDescent="0.25">
      <c r="A12" s="14"/>
      <c r="B12" s="39" t="s">
        <v>27</v>
      </c>
      <c r="C12" s="34">
        <f>SUMIF(F24:F70,"TH",E24:E70)</f>
        <v>0</v>
      </c>
      <c r="D12" s="40">
        <f>COUNTIFS(F24:F70,"TH",E24:E70,"&lt;&gt;")</f>
        <v>0</v>
      </c>
      <c r="I12" s="16"/>
      <c r="N12" s="17"/>
      <c r="S12" s="17"/>
    </row>
    <row r="13" spans="1:27" s="15" customFormat="1" ht="18" x14ac:dyDescent="0.25">
      <c r="A13" s="14"/>
      <c r="B13" s="39" t="s">
        <v>19</v>
      </c>
      <c r="C13" s="34">
        <f>SUMIF(F24:F70,"HAND",E24:E70)</f>
        <v>0</v>
      </c>
      <c r="D13" s="40">
        <f>COUNTIFS(F24:F70,"HAND",E24:E70,"&lt;&gt;")</f>
        <v>0</v>
      </c>
      <c r="I13" s="16"/>
      <c r="N13" s="17"/>
      <c r="S13" s="17"/>
    </row>
    <row r="14" spans="1:27" s="15" customFormat="1" ht="18.75" thickBot="1" x14ac:dyDescent="0.3">
      <c r="A14" s="14"/>
      <c r="B14" s="41" t="s">
        <v>25</v>
      </c>
      <c r="C14" s="42">
        <f>SUM(E24:E70)</f>
        <v>63</v>
      </c>
      <c r="D14" s="43">
        <f>COUNTIFS(E24:E70,"&gt;0",E24:E70,"&lt;&gt;")</f>
        <v>46</v>
      </c>
      <c r="I14" s="16"/>
      <c r="N14" s="17"/>
      <c r="S14" s="17"/>
    </row>
    <row r="15" spans="1:27" ht="18" x14ac:dyDescent="0.25">
      <c r="B15" s="50" t="s">
        <v>28</v>
      </c>
      <c r="C15" s="15"/>
      <c r="D15" s="15"/>
      <c r="I15" s="8"/>
    </row>
    <row r="16" spans="1:27" ht="15" x14ac:dyDescent="0.2">
      <c r="B16" s="10"/>
      <c r="I16" s="8"/>
    </row>
    <row r="17" spans="1:28" ht="15.75" thickBot="1" x14ac:dyDescent="0.25">
      <c r="B17" s="10"/>
      <c r="I17" s="8"/>
    </row>
    <row r="18" spans="1:28" ht="15.75" x14ac:dyDescent="0.25">
      <c r="B18" s="10"/>
      <c r="I18" s="20"/>
      <c r="J18" s="21" t="s">
        <v>7</v>
      </c>
      <c r="K18" s="22" t="s">
        <v>9</v>
      </c>
      <c r="L18" s="7" t="s">
        <v>21</v>
      </c>
      <c r="N18" s="20"/>
      <c r="O18" s="21" t="s">
        <v>7</v>
      </c>
      <c r="P18" s="22" t="s">
        <v>9</v>
      </c>
      <c r="Q18" s="7" t="s">
        <v>21</v>
      </c>
      <c r="S18" s="20"/>
      <c r="T18" s="21" t="s">
        <v>7</v>
      </c>
      <c r="U18" s="22" t="s">
        <v>9</v>
      </c>
      <c r="V18" s="7" t="s">
        <v>21</v>
      </c>
    </row>
    <row r="19" spans="1:28" ht="15.75" x14ac:dyDescent="0.25">
      <c r="B19" s="10"/>
      <c r="I19" s="23" t="str">
        <f t="shared" ref="I19:K20" si="0">I73</f>
        <v>EA 5</v>
      </c>
      <c r="J19" s="6">
        <f t="shared" si="0"/>
        <v>34.877400000000009</v>
      </c>
      <c r="K19" s="30">
        <f t="shared" si="0"/>
        <v>47.620000000000012</v>
      </c>
      <c r="L19" s="29">
        <f>L73</f>
        <v>114.00160000000002</v>
      </c>
      <c r="M19" s="33"/>
      <c r="N19" s="23" t="str">
        <f t="shared" ref="N19:P20" si="1">N73</f>
        <v>EA 25</v>
      </c>
      <c r="O19" s="6">
        <f t="shared" si="1"/>
        <v>28.353999999999989</v>
      </c>
      <c r="P19" s="30">
        <f t="shared" si="1"/>
        <v>29.748800000000017</v>
      </c>
      <c r="Q19" s="29">
        <f>Q73</f>
        <v>41.424520000000015</v>
      </c>
      <c r="R19" s="33"/>
      <c r="S19" s="23" t="str">
        <f t="shared" ref="S19:U20" si="2">S73</f>
        <v>EA 50</v>
      </c>
      <c r="T19" s="6">
        <f t="shared" si="2"/>
        <v>27.100299999999987</v>
      </c>
      <c r="U19" s="30">
        <f t="shared" si="2"/>
        <v>27.580500000000001</v>
      </c>
      <c r="V19" s="29">
        <f>V73</f>
        <v>33.450800000000001</v>
      </c>
    </row>
    <row r="20" spans="1:28" ht="16.5" thickBot="1" x14ac:dyDescent="0.3">
      <c r="B20" s="10"/>
      <c r="I20" s="25" t="str">
        <f t="shared" si="0"/>
        <v>EA 5+</v>
      </c>
      <c r="J20" s="31">
        <f t="shared" si="0"/>
        <v>1.1000000000000001</v>
      </c>
      <c r="K20" s="32">
        <f t="shared" si="0"/>
        <v>52.382000000000019</v>
      </c>
      <c r="L20" s="28">
        <f>1-J19/L19</f>
        <v>0.69406218860086177</v>
      </c>
      <c r="M20" s="33"/>
      <c r="N20" s="25" t="str">
        <f t="shared" si="1"/>
        <v>EA 25+</v>
      </c>
      <c r="O20" s="31">
        <f t="shared" si="1"/>
        <v>1.08</v>
      </c>
      <c r="P20" s="32">
        <f t="shared" si="1"/>
        <v>32.12870400000002</v>
      </c>
      <c r="Q20" s="28">
        <f>1-O19/Q19</f>
        <v>0.3155261666278818</v>
      </c>
      <c r="R20" s="33"/>
      <c r="S20" s="25" t="str">
        <f t="shared" si="2"/>
        <v>EA 50+</v>
      </c>
      <c r="T20" s="31">
        <f t="shared" si="2"/>
        <v>1.06</v>
      </c>
      <c r="U20" s="32">
        <f t="shared" si="2"/>
        <v>29.235330000000001</v>
      </c>
      <c r="V20" s="28">
        <f>1-T19/V19</f>
        <v>0.18984598275676556</v>
      </c>
    </row>
    <row r="21" spans="1:28" ht="15" x14ac:dyDescent="0.2">
      <c r="B21" s="10"/>
      <c r="J21" s="8"/>
      <c r="O21" s="8"/>
      <c r="T21" s="8"/>
    </row>
    <row r="22" spans="1:28" x14ac:dyDescent="0.2">
      <c r="H22" s="4" t="s">
        <v>11</v>
      </c>
      <c r="I22" s="11">
        <f>H23</f>
        <v>5</v>
      </c>
      <c r="J22" s="4">
        <f>H23</f>
        <v>5</v>
      </c>
      <c r="K22" s="4">
        <f>H23</f>
        <v>5</v>
      </c>
      <c r="L22" s="4">
        <f>H23</f>
        <v>5</v>
      </c>
      <c r="M22" s="4" t="s">
        <v>12</v>
      </c>
      <c r="N22" s="11">
        <f>M23</f>
        <v>25</v>
      </c>
      <c r="O22" s="4">
        <f>M23</f>
        <v>25</v>
      </c>
      <c r="P22" s="4">
        <f>M23</f>
        <v>25</v>
      </c>
      <c r="Q22" s="4">
        <f>M23</f>
        <v>25</v>
      </c>
      <c r="R22" s="4" t="s">
        <v>13</v>
      </c>
      <c r="S22" s="11">
        <f>R23</f>
        <v>50</v>
      </c>
      <c r="T22" s="4">
        <f>R23</f>
        <v>50</v>
      </c>
      <c r="U22" s="4">
        <f>R23</f>
        <v>50</v>
      </c>
      <c r="V22" s="4">
        <f>R23</f>
        <v>50</v>
      </c>
    </row>
    <row r="23" spans="1:28" ht="15" x14ac:dyDescent="0.25">
      <c r="A23" s="3" t="s">
        <v>0</v>
      </c>
      <c r="B23" s="1" t="s">
        <v>1</v>
      </c>
      <c r="C23" s="1" t="s">
        <v>2</v>
      </c>
      <c r="D23" s="1" t="s">
        <v>3</v>
      </c>
      <c r="E23" s="1" t="s">
        <v>5</v>
      </c>
      <c r="F23" s="7" t="s">
        <v>16</v>
      </c>
      <c r="G23" s="1" t="s">
        <v>4</v>
      </c>
      <c r="H23" s="12">
        <v>5</v>
      </c>
      <c r="I23" s="13" t="s">
        <v>6</v>
      </c>
      <c r="J23" s="4" t="s">
        <v>7</v>
      </c>
      <c r="K23" s="4" t="s">
        <v>9</v>
      </c>
      <c r="L23" s="4" t="s">
        <v>20</v>
      </c>
      <c r="M23" s="12">
        <v>25</v>
      </c>
      <c r="N23" s="13" t="s">
        <v>6</v>
      </c>
      <c r="O23" s="4" t="s">
        <v>7</v>
      </c>
      <c r="P23" s="4" t="s">
        <v>9</v>
      </c>
      <c r="Q23" s="4" t="s">
        <v>20</v>
      </c>
      <c r="R23" s="12">
        <v>50</v>
      </c>
      <c r="S23" s="13" t="s">
        <v>6</v>
      </c>
      <c r="T23" s="4" t="s">
        <v>7</v>
      </c>
      <c r="U23" s="4" t="s">
        <v>9</v>
      </c>
      <c r="V23" s="4" t="s">
        <v>20</v>
      </c>
      <c r="W23" s="3" t="s">
        <v>8</v>
      </c>
      <c r="X23" s="104" t="s">
        <v>249</v>
      </c>
      <c r="Y23" s="104" t="s">
        <v>291</v>
      </c>
      <c r="AB23" s="1" t="s">
        <v>29</v>
      </c>
    </row>
    <row r="24" spans="1:28" ht="15" x14ac:dyDescent="0.25">
      <c r="A24" s="87">
        <v>1</v>
      </c>
      <c r="B24" s="88" t="s">
        <v>90</v>
      </c>
      <c r="C24" s="88" t="s">
        <v>136</v>
      </c>
      <c r="D24" s="88" t="s">
        <v>137</v>
      </c>
      <c r="E24" s="89">
        <v>1</v>
      </c>
      <c r="F24" s="4" t="s">
        <v>331</v>
      </c>
      <c r="G24" s="87" t="s">
        <v>202</v>
      </c>
      <c r="H24" s="5">
        <f>$H$23*$E24</f>
        <v>5</v>
      </c>
      <c r="I24" s="92">
        <v>0.16</v>
      </c>
      <c r="J24" s="6">
        <f>I24*$E24</f>
        <v>0.16</v>
      </c>
      <c r="K24" s="6">
        <f>IF(J24&gt;0,IF(J24*$H$23&lt;2.5,2.5/$H$23,J24),0)</f>
        <v>0.5</v>
      </c>
      <c r="L24" s="6">
        <f>IFERROR(I24*INDEX([1]Sheet1!$A$1:$A$13,MATCH(I24,[1]Sheet1!$B$1:$B$13)),0)</f>
        <v>5.6000000000000005</v>
      </c>
      <c r="M24" s="5">
        <f>$M$23*$E24</f>
        <v>25</v>
      </c>
      <c r="N24" s="92">
        <v>9.0999999999999998E-2</v>
      </c>
      <c r="O24" s="6">
        <f>N24*$E24</f>
        <v>9.0999999999999998E-2</v>
      </c>
      <c r="P24" s="6">
        <f>IF(O24&gt;0,IF(O24*$M$23&lt;2.5,2.5/$M$23,O24),0)</f>
        <v>0.1</v>
      </c>
      <c r="Q24" s="6">
        <f>IFERROR(N24*INDEX([1]Sheet1!$A$1:$A$13,MATCH(N24,[1]Sheet1!$B$1:$B$13)),0)</f>
        <v>9.1</v>
      </c>
      <c r="R24" s="5">
        <f>$R$23*$E24</f>
        <v>50</v>
      </c>
      <c r="S24" s="92">
        <v>9.0999999999999998E-2</v>
      </c>
      <c r="T24" s="6">
        <f>S24*$E24</f>
        <v>9.0999999999999998E-2</v>
      </c>
      <c r="U24" s="6">
        <f>IF(T24&gt;0,IF(T24*$R$23&lt;2.5,2.5/$R$23,T24),0)</f>
        <v>9.0999999999999998E-2</v>
      </c>
      <c r="V24" s="6">
        <f>IFERROR(S24*INDEX([1]Sheet1!$A$1:$A$13,MATCH(S24,[1]Sheet1!$B$1:$B$13)),0)</f>
        <v>9.1</v>
      </c>
      <c r="W24" s="1" t="s">
        <v>333</v>
      </c>
      <c r="X24" t="s">
        <v>250</v>
      </c>
      <c r="Y24" t="s">
        <v>292</v>
      </c>
      <c r="AB24" s="1" t="str">
        <f>IF(E24&gt;0,(IF(I24&gt;0,"","ERROR")),"")</f>
        <v/>
      </c>
    </row>
    <row r="25" spans="1:28" ht="30" x14ac:dyDescent="0.25">
      <c r="A25" s="87">
        <v>2</v>
      </c>
      <c r="B25" s="90" t="s">
        <v>91</v>
      </c>
      <c r="C25" s="88" t="s">
        <v>138</v>
      </c>
      <c r="D25" s="88" t="s">
        <v>139</v>
      </c>
      <c r="E25" s="89">
        <v>3</v>
      </c>
      <c r="F25" s="4" t="s">
        <v>331</v>
      </c>
      <c r="G25" s="87" t="s">
        <v>203</v>
      </c>
      <c r="H25" s="5">
        <f t="shared" ref="H25:H70" si="3">$H$23*$E25</f>
        <v>15</v>
      </c>
      <c r="I25" s="92">
        <v>6.7000000000000004E-2</v>
      </c>
      <c r="J25" s="6">
        <f t="shared" ref="J25:J70" si="4">I25*$E25</f>
        <v>0.20100000000000001</v>
      </c>
      <c r="K25" s="6">
        <f>IF(J25&gt;0,IF(J25*$H$23&lt;2.5,2.5/$H$23,J25),0)</f>
        <v>0.5</v>
      </c>
      <c r="L25" s="6">
        <f>IFERROR(I25*INDEX([1]Sheet1!$A$1:$A$13,MATCH(I25,[1]Sheet1!$B$1:$B$13)),0)</f>
        <v>10.050000000000001</v>
      </c>
      <c r="M25" s="5">
        <f t="shared" ref="M25:M70" si="5">$M$23*$E25</f>
        <v>75</v>
      </c>
      <c r="N25" s="92">
        <v>6.7000000000000004E-2</v>
      </c>
      <c r="O25" s="6">
        <f t="shared" ref="O25:O70" si="6">N25*$E25</f>
        <v>0.20100000000000001</v>
      </c>
      <c r="P25" s="6">
        <f t="shared" ref="P25:P60" si="7">IF(O25&gt;0,IF(O25*$M$23&lt;2.5,2.5/$M$23,O25),0)</f>
        <v>0.20100000000000001</v>
      </c>
      <c r="Q25" s="6">
        <f>IFERROR(N25*INDEX([1]Sheet1!$A$1:$A$13,MATCH(N25,[1]Sheet1!$B$1:$B$13)),0)</f>
        <v>10.050000000000001</v>
      </c>
      <c r="R25" s="5">
        <f t="shared" ref="R25:R70" si="8">$R$23*$E25</f>
        <v>150</v>
      </c>
      <c r="S25" s="92">
        <v>4.7E-2</v>
      </c>
      <c r="T25" s="6">
        <f t="shared" ref="T25:T70" si="9">S25*$E25</f>
        <v>0.14100000000000001</v>
      </c>
      <c r="U25" s="6">
        <f t="shared" ref="U25:U60" si="10">IF(T25&gt;0,IF(T25*$R$23&lt;2.5,2.5/$R$23,T25),0)</f>
        <v>0.14100000000000001</v>
      </c>
      <c r="V25" s="6">
        <f>IFERROR(S25*INDEX([1]Sheet1!$A$1:$A$13,MATCH(S25,[1]Sheet1!$B$1:$B$13)),0)</f>
        <v>7.05</v>
      </c>
      <c r="W25" s="1" t="s">
        <v>333</v>
      </c>
      <c r="X25" t="s">
        <v>251</v>
      </c>
      <c r="Y25" t="s">
        <v>293</v>
      </c>
      <c r="AB25" s="1" t="str">
        <f t="shared" ref="AB25:AB70" si="11">IF(E25&gt;0,(IF(I25&gt;0,"","ERROR")),"")</f>
        <v/>
      </c>
    </row>
    <row r="26" spans="1:28" ht="15" x14ac:dyDescent="0.25">
      <c r="A26" s="87">
        <v>3</v>
      </c>
      <c r="B26" s="88" t="s">
        <v>92</v>
      </c>
      <c r="C26" s="88" t="s">
        <v>140</v>
      </c>
      <c r="D26" s="88" t="s">
        <v>141</v>
      </c>
      <c r="E26" s="89">
        <v>1</v>
      </c>
      <c r="F26" s="4" t="s">
        <v>331</v>
      </c>
      <c r="G26" s="87" t="s">
        <v>204</v>
      </c>
      <c r="H26" s="5">
        <f t="shared" si="3"/>
        <v>5</v>
      </c>
      <c r="I26" s="92">
        <v>0.26</v>
      </c>
      <c r="J26" s="6">
        <f t="shared" si="4"/>
        <v>0.26</v>
      </c>
      <c r="K26" s="6">
        <f>IF(J26&gt;0,IF(J26*$H$23&lt;2.5,2.5/$H$23,J26),0)</f>
        <v>0.5</v>
      </c>
      <c r="L26" s="6">
        <f>IFERROR(I26*INDEX([1]Sheet1!$A$1:$A$13,MATCH(I26,[1]Sheet1!$B$1:$B$13)),0)</f>
        <v>5.2</v>
      </c>
      <c r="M26" s="5">
        <f t="shared" si="5"/>
        <v>25</v>
      </c>
      <c r="N26" s="92">
        <v>0.154</v>
      </c>
      <c r="O26" s="6">
        <f t="shared" si="6"/>
        <v>0.154</v>
      </c>
      <c r="P26" s="6">
        <f t="shared" si="7"/>
        <v>0.154</v>
      </c>
      <c r="Q26" s="6">
        <f>IFERROR(N26*INDEX([1]Sheet1!$A$1:$A$13,MATCH(N26,[1]Sheet1!$B$1:$B$13)),0)</f>
        <v>5.39</v>
      </c>
      <c r="R26" s="5">
        <f t="shared" si="8"/>
        <v>50</v>
      </c>
      <c r="S26" s="92">
        <v>0.154</v>
      </c>
      <c r="T26" s="6">
        <f t="shared" si="9"/>
        <v>0.154</v>
      </c>
      <c r="U26" s="6">
        <f t="shared" si="10"/>
        <v>0.154</v>
      </c>
      <c r="V26" s="6">
        <f>IFERROR(S26*INDEX([1]Sheet1!$A$1:$A$13,MATCH(S26,[1]Sheet1!$B$1:$B$13)),0)</f>
        <v>5.39</v>
      </c>
      <c r="W26" s="1" t="s">
        <v>333</v>
      </c>
      <c r="X26" t="s">
        <v>252</v>
      </c>
      <c r="Y26" t="s">
        <v>294</v>
      </c>
      <c r="AB26" s="1" t="str">
        <f t="shared" si="11"/>
        <v/>
      </c>
    </row>
    <row r="27" spans="1:28" ht="15" x14ac:dyDescent="0.25">
      <c r="A27" s="87">
        <v>4</v>
      </c>
      <c r="B27" s="88" t="s">
        <v>93</v>
      </c>
      <c r="C27" s="88" t="s">
        <v>136</v>
      </c>
      <c r="D27" s="88" t="s">
        <v>142</v>
      </c>
      <c r="E27" s="89">
        <v>1</v>
      </c>
      <c r="F27" s="4" t="s">
        <v>331</v>
      </c>
      <c r="G27" s="87" t="s">
        <v>205</v>
      </c>
      <c r="H27" s="5">
        <f t="shared" si="3"/>
        <v>5</v>
      </c>
      <c r="I27" s="92">
        <v>0.49</v>
      </c>
      <c r="J27" s="6">
        <f t="shared" si="4"/>
        <v>0.49</v>
      </c>
      <c r="K27" s="6">
        <f>IF(J27&gt;0,IF(J27*$H$23&lt;2.5,2.5/$H$23,J27),0)</f>
        <v>0.5</v>
      </c>
      <c r="L27" s="6">
        <f>IFERROR(I27*INDEX([1]Sheet1!$A$1:$A$13,MATCH(I27,[1]Sheet1!$B$1:$B$13)),0)</f>
        <v>7.35</v>
      </c>
      <c r="M27" s="5">
        <f t="shared" si="5"/>
        <v>25</v>
      </c>
      <c r="N27" s="92">
        <v>0.308</v>
      </c>
      <c r="O27" s="6">
        <f t="shared" si="6"/>
        <v>0.308</v>
      </c>
      <c r="P27" s="6">
        <f t="shared" si="7"/>
        <v>0.308</v>
      </c>
      <c r="Q27" s="6">
        <f>IFERROR(N27*INDEX([1]Sheet1!$A$1:$A$13,MATCH(N27,[1]Sheet1!$B$1:$B$13)),0)</f>
        <v>6.16</v>
      </c>
      <c r="R27" s="5">
        <f t="shared" si="8"/>
        <v>50</v>
      </c>
      <c r="S27" s="92">
        <v>0.308</v>
      </c>
      <c r="T27" s="6">
        <f t="shared" si="9"/>
        <v>0.308</v>
      </c>
      <c r="U27" s="6">
        <f t="shared" si="10"/>
        <v>0.308</v>
      </c>
      <c r="V27" s="6">
        <f>IFERROR(S27*INDEX([1]Sheet1!$A$1:$A$13,MATCH(S27,[1]Sheet1!$B$1:$B$13)),0)</f>
        <v>6.16</v>
      </c>
      <c r="W27" s="1" t="s">
        <v>333</v>
      </c>
      <c r="X27" t="s">
        <v>253</v>
      </c>
      <c r="Y27" t="s">
        <v>295</v>
      </c>
      <c r="AB27" s="1" t="str">
        <f t="shared" si="11"/>
        <v/>
      </c>
    </row>
    <row r="28" spans="1:28" ht="15" x14ac:dyDescent="0.25">
      <c r="A28" s="87">
        <v>5</v>
      </c>
      <c r="B28" s="88" t="s">
        <v>94</v>
      </c>
      <c r="C28" s="88" t="s">
        <v>136</v>
      </c>
      <c r="D28" s="88" t="s">
        <v>143</v>
      </c>
      <c r="E28" s="89">
        <v>1</v>
      </c>
      <c r="F28" s="4" t="s">
        <v>331</v>
      </c>
      <c r="G28" s="87" t="s">
        <v>206</v>
      </c>
      <c r="H28" s="5">
        <f t="shared" si="3"/>
        <v>5</v>
      </c>
      <c r="I28" s="92">
        <v>0.2</v>
      </c>
      <c r="J28" s="6">
        <f t="shared" si="4"/>
        <v>0.2</v>
      </c>
      <c r="K28" s="6">
        <f t="shared" ref="K28:K60" si="12">IF(J28&gt;0,IF(J28*$H$23&lt;2.5,2.5/$H$23,J28),0)</f>
        <v>0.5</v>
      </c>
      <c r="L28" s="6">
        <f>IFERROR(I28*INDEX([1]Sheet1!$A$1:$A$13,MATCH(I28,[1]Sheet1!$B$1:$B$13)),0)</f>
        <v>7</v>
      </c>
      <c r="M28" s="5">
        <f t="shared" si="5"/>
        <v>25</v>
      </c>
      <c r="N28" s="92">
        <v>0.11600000000000001</v>
      </c>
      <c r="O28" s="6">
        <f t="shared" si="6"/>
        <v>0.11600000000000001</v>
      </c>
      <c r="P28" s="6">
        <f t="shared" si="7"/>
        <v>0.11600000000000001</v>
      </c>
      <c r="Q28" s="6">
        <f>IFERROR(N28*INDEX([1]Sheet1!$A$1:$A$13,MATCH(N28,[1]Sheet1!$B$1:$B$13)),0)</f>
        <v>11.600000000000001</v>
      </c>
      <c r="R28" s="5">
        <f t="shared" si="8"/>
        <v>50</v>
      </c>
      <c r="S28" s="92">
        <v>0.11600000000000001</v>
      </c>
      <c r="T28" s="6">
        <f t="shared" si="9"/>
        <v>0.11600000000000001</v>
      </c>
      <c r="U28" s="6">
        <f t="shared" si="10"/>
        <v>0.11600000000000001</v>
      </c>
      <c r="V28" s="6">
        <f>IFERROR(S28*INDEX([1]Sheet1!$A$1:$A$13,MATCH(S28,[1]Sheet1!$B$1:$B$13)),0)</f>
        <v>11.600000000000001</v>
      </c>
      <c r="W28" s="1" t="s">
        <v>333</v>
      </c>
      <c r="X28" t="s">
        <v>254</v>
      </c>
      <c r="Y28" t="s">
        <v>296</v>
      </c>
      <c r="AB28" s="1" t="str">
        <f t="shared" si="11"/>
        <v/>
      </c>
    </row>
    <row r="29" spans="1:28" ht="30" x14ac:dyDescent="0.25">
      <c r="A29" s="87">
        <v>6</v>
      </c>
      <c r="B29" s="90" t="s">
        <v>95</v>
      </c>
      <c r="C29" s="88" t="s">
        <v>138</v>
      </c>
      <c r="D29" s="88" t="s">
        <v>144</v>
      </c>
      <c r="E29" s="89">
        <v>1</v>
      </c>
      <c r="F29" s="4" t="s">
        <v>331</v>
      </c>
      <c r="G29" s="87" t="s">
        <v>207</v>
      </c>
      <c r="H29" s="5">
        <f t="shared" si="3"/>
        <v>5</v>
      </c>
      <c r="I29" s="92">
        <v>0.1</v>
      </c>
      <c r="J29" s="6">
        <f t="shared" si="4"/>
        <v>0.1</v>
      </c>
      <c r="K29" s="6">
        <f t="shared" si="12"/>
        <v>0.5</v>
      </c>
      <c r="L29" s="6">
        <f>IFERROR(I29*INDEX([1]Sheet1!$A$1:$A$13,MATCH(I29,[1]Sheet1!$B$1:$B$13)),0)</f>
        <v>10</v>
      </c>
      <c r="M29" s="5">
        <f t="shared" si="5"/>
        <v>25</v>
      </c>
      <c r="N29" s="92">
        <v>3.4000000000000002E-2</v>
      </c>
      <c r="O29" s="6">
        <f t="shared" si="6"/>
        <v>3.4000000000000002E-2</v>
      </c>
      <c r="P29" s="6">
        <f t="shared" si="7"/>
        <v>0.1</v>
      </c>
      <c r="Q29" s="6">
        <f>IFERROR(N29*INDEX([1]Sheet1!$A$1:$A$13,MATCH(N29,[1]Sheet1!$B$1:$B$13)),0)</f>
        <v>8.5</v>
      </c>
      <c r="R29" s="5">
        <f t="shared" si="8"/>
        <v>50</v>
      </c>
      <c r="S29" s="92">
        <v>3.4000000000000002E-2</v>
      </c>
      <c r="T29" s="6">
        <f t="shared" si="9"/>
        <v>3.4000000000000002E-2</v>
      </c>
      <c r="U29" s="6">
        <f t="shared" si="10"/>
        <v>0.05</v>
      </c>
      <c r="V29" s="6">
        <f>IFERROR(S29*INDEX([1]Sheet1!$A$1:$A$13,MATCH(S29,[1]Sheet1!$B$1:$B$13)),0)</f>
        <v>8.5</v>
      </c>
      <c r="W29" s="1" t="s">
        <v>333</v>
      </c>
      <c r="X29" t="s">
        <v>255</v>
      </c>
      <c r="Y29" t="s">
        <v>297</v>
      </c>
      <c r="AB29" s="1" t="str">
        <f t="shared" si="11"/>
        <v/>
      </c>
    </row>
    <row r="30" spans="1:28" ht="30" x14ac:dyDescent="0.25">
      <c r="A30" s="87">
        <v>7</v>
      </c>
      <c r="B30" s="90" t="s">
        <v>96</v>
      </c>
      <c r="C30" s="88" t="s">
        <v>138</v>
      </c>
      <c r="D30" s="88" t="s">
        <v>145</v>
      </c>
      <c r="E30" s="89">
        <v>3</v>
      </c>
      <c r="F30" s="4" t="s">
        <v>331</v>
      </c>
      <c r="G30" s="87" t="s">
        <v>208</v>
      </c>
      <c r="H30" s="5">
        <f t="shared" si="3"/>
        <v>15</v>
      </c>
      <c r="I30" s="92">
        <v>0.06</v>
      </c>
      <c r="J30" s="6">
        <f t="shared" si="4"/>
        <v>0.18</v>
      </c>
      <c r="K30" s="6">
        <f t="shared" si="12"/>
        <v>0.5</v>
      </c>
      <c r="L30" s="6">
        <f>IFERROR(I30*INDEX([1]Sheet1!$A$1:$A$13,MATCH(I30,[1]Sheet1!$B$1:$B$13)),0)</f>
        <v>9</v>
      </c>
      <c r="M30" s="5">
        <f t="shared" si="5"/>
        <v>75</v>
      </c>
      <c r="N30" s="92">
        <v>0.06</v>
      </c>
      <c r="O30" s="6">
        <f t="shared" si="6"/>
        <v>0.18</v>
      </c>
      <c r="P30" s="6">
        <f t="shared" si="7"/>
        <v>0.18</v>
      </c>
      <c r="Q30" s="6">
        <f>IFERROR(N30*INDEX([1]Sheet1!$A$1:$A$13,MATCH(N30,[1]Sheet1!$B$1:$B$13)),0)</f>
        <v>9</v>
      </c>
      <c r="R30" s="5">
        <f t="shared" si="8"/>
        <v>150</v>
      </c>
      <c r="S30" s="92">
        <v>3.9E-2</v>
      </c>
      <c r="T30" s="6">
        <f t="shared" si="9"/>
        <v>0.11699999999999999</v>
      </c>
      <c r="U30" s="6">
        <f t="shared" si="10"/>
        <v>0.11699999999999999</v>
      </c>
      <c r="V30" s="6">
        <f>IFERROR(S30*INDEX([1]Sheet1!$A$1:$A$13,MATCH(S30,[1]Sheet1!$B$1:$B$13)),0)</f>
        <v>9.75</v>
      </c>
      <c r="W30" s="1" t="s">
        <v>333</v>
      </c>
      <c r="X30" t="s">
        <v>256</v>
      </c>
      <c r="Y30" t="s">
        <v>298</v>
      </c>
      <c r="AB30" s="1" t="str">
        <f t="shared" si="11"/>
        <v/>
      </c>
    </row>
    <row r="31" spans="1:28" ht="29.25" x14ac:dyDescent="0.25">
      <c r="A31" s="87">
        <v>8</v>
      </c>
      <c r="B31" s="88" t="s">
        <v>97</v>
      </c>
      <c r="C31" s="88" t="s">
        <v>136</v>
      </c>
      <c r="D31" s="88" t="s">
        <v>146</v>
      </c>
      <c r="E31" s="89">
        <v>6</v>
      </c>
      <c r="F31" s="4" t="s">
        <v>331</v>
      </c>
      <c r="G31" s="87" t="s">
        <v>209</v>
      </c>
      <c r="H31" s="5">
        <f t="shared" si="3"/>
        <v>30</v>
      </c>
      <c r="I31" s="92">
        <v>1.46E-2</v>
      </c>
      <c r="J31" s="6">
        <f t="shared" si="4"/>
        <v>8.7599999999999997E-2</v>
      </c>
      <c r="K31" s="6">
        <f t="shared" si="12"/>
        <v>0.5</v>
      </c>
      <c r="L31" s="6">
        <f>IFERROR(I31*INDEX([1]Sheet1!$A$1:$A$13,MATCH(I31,[1]Sheet1!$B$1:$B$13)),0)</f>
        <v>3.65</v>
      </c>
      <c r="M31" s="5">
        <f t="shared" si="5"/>
        <v>150</v>
      </c>
      <c r="N31" s="92">
        <v>0.44</v>
      </c>
      <c r="O31" s="6">
        <f t="shared" si="6"/>
        <v>2.64</v>
      </c>
      <c r="P31" s="6">
        <f t="shared" si="7"/>
        <v>2.64</v>
      </c>
      <c r="Q31" s="6">
        <f>IFERROR(N31*INDEX([1]Sheet1!$A$1:$A$13,MATCH(N31,[1]Sheet1!$B$1:$B$13)),0)</f>
        <v>6.6</v>
      </c>
      <c r="R31" s="5">
        <f t="shared" si="8"/>
        <v>300</v>
      </c>
      <c r="S31" s="92">
        <v>0.44</v>
      </c>
      <c r="T31" s="6">
        <f t="shared" si="9"/>
        <v>2.64</v>
      </c>
      <c r="U31" s="6">
        <f t="shared" si="10"/>
        <v>2.64</v>
      </c>
      <c r="V31" s="6">
        <f>IFERROR(S31*INDEX([1]Sheet1!$A$1:$A$13,MATCH(S31,[1]Sheet1!$B$1:$B$13)),0)</f>
        <v>6.6</v>
      </c>
      <c r="W31" s="103" t="s">
        <v>340</v>
      </c>
      <c r="X31" t="s">
        <v>257</v>
      </c>
      <c r="Y31" t="s">
        <v>299</v>
      </c>
      <c r="AB31" s="1" t="str">
        <f t="shared" si="11"/>
        <v/>
      </c>
    </row>
    <row r="32" spans="1:28" ht="15" x14ac:dyDescent="0.25">
      <c r="A32" s="87">
        <v>9</v>
      </c>
      <c r="B32" s="88" t="s">
        <v>98</v>
      </c>
      <c r="C32" s="88" t="s">
        <v>136</v>
      </c>
      <c r="D32" s="88" t="s">
        <v>147</v>
      </c>
      <c r="E32" s="89">
        <v>1</v>
      </c>
      <c r="F32" s="4" t="s">
        <v>331</v>
      </c>
      <c r="G32" s="87" t="s">
        <v>210</v>
      </c>
      <c r="H32" s="5">
        <f t="shared" si="3"/>
        <v>5</v>
      </c>
      <c r="I32" s="92">
        <v>0.14000000000000001</v>
      </c>
      <c r="J32" s="6">
        <f t="shared" si="4"/>
        <v>0.14000000000000001</v>
      </c>
      <c r="K32" s="6">
        <f t="shared" si="12"/>
        <v>0.5</v>
      </c>
      <c r="L32" s="6">
        <f>IFERROR(I32*INDEX([1]Sheet1!$A$1:$A$13,MATCH(I32,[1]Sheet1!$B$1:$B$13)),0)</f>
        <v>14.000000000000002</v>
      </c>
      <c r="M32" s="5">
        <f t="shared" si="5"/>
        <v>25</v>
      </c>
      <c r="N32" s="92">
        <v>7.9000000000000001E-2</v>
      </c>
      <c r="O32" s="6">
        <f t="shared" si="6"/>
        <v>7.9000000000000001E-2</v>
      </c>
      <c r="P32" s="6">
        <f t="shared" si="7"/>
        <v>0.1</v>
      </c>
      <c r="Q32" s="6">
        <f>IFERROR(N32*INDEX([1]Sheet1!$A$1:$A$13,MATCH(N32,[1]Sheet1!$B$1:$B$13)),0)</f>
        <v>7.9</v>
      </c>
      <c r="R32" s="5">
        <f t="shared" si="8"/>
        <v>50</v>
      </c>
      <c r="S32" s="92">
        <v>7.9000000000000001E-2</v>
      </c>
      <c r="T32" s="6">
        <f t="shared" si="9"/>
        <v>7.9000000000000001E-2</v>
      </c>
      <c r="U32" s="6">
        <f t="shared" si="10"/>
        <v>7.9000000000000001E-2</v>
      </c>
      <c r="V32" s="6">
        <f>IFERROR(S32*INDEX([1]Sheet1!$A$1:$A$13,MATCH(S32,[1]Sheet1!$B$1:$B$13)),0)</f>
        <v>7.9</v>
      </c>
      <c r="W32" s="1" t="s">
        <v>333</v>
      </c>
      <c r="X32" t="s">
        <v>258</v>
      </c>
      <c r="Y32" t="s">
        <v>300</v>
      </c>
      <c r="AB32" s="1" t="str">
        <f t="shared" si="11"/>
        <v/>
      </c>
    </row>
    <row r="33" spans="1:28" ht="15" x14ac:dyDescent="0.25">
      <c r="A33" s="87">
        <v>10</v>
      </c>
      <c r="B33" s="88" t="s">
        <v>99</v>
      </c>
      <c r="C33" s="88" t="s">
        <v>136</v>
      </c>
      <c r="D33" s="88" t="s">
        <v>148</v>
      </c>
      <c r="E33" s="89">
        <v>1</v>
      </c>
      <c r="F33" s="4" t="s">
        <v>331</v>
      </c>
      <c r="G33" s="87" t="s">
        <v>211</v>
      </c>
      <c r="H33" s="5">
        <f t="shared" si="3"/>
        <v>5</v>
      </c>
      <c r="I33" s="92">
        <v>0.14000000000000001</v>
      </c>
      <c r="J33" s="6">
        <f t="shared" si="4"/>
        <v>0.14000000000000001</v>
      </c>
      <c r="K33" s="6">
        <f t="shared" si="12"/>
        <v>0.5</v>
      </c>
      <c r="L33" s="6">
        <f>IFERROR(I33*INDEX([1]Sheet1!$A$1:$A$13,MATCH(I33,[1]Sheet1!$B$1:$B$13)),0)</f>
        <v>14.000000000000002</v>
      </c>
      <c r="M33" s="5">
        <f t="shared" si="5"/>
        <v>25</v>
      </c>
      <c r="N33" s="92">
        <v>7.9000000000000001E-2</v>
      </c>
      <c r="O33" s="6">
        <f t="shared" si="6"/>
        <v>7.9000000000000001E-2</v>
      </c>
      <c r="P33" s="6">
        <f t="shared" si="7"/>
        <v>0.1</v>
      </c>
      <c r="Q33" s="6">
        <f>IFERROR(N33*INDEX([1]Sheet1!$A$1:$A$13,MATCH(N33,[1]Sheet1!$B$1:$B$13)),0)</f>
        <v>7.9</v>
      </c>
      <c r="R33" s="5">
        <f t="shared" si="8"/>
        <v>50</v>
      </c>
      <c r="S33" s="92">
        <v>7.9000000000000001E-2</v>
      </c>
      <c r="T33" s="6">
        <f t="shared" si="9"/>
        <v>7.9000000000000001E-2</v>
      </c>
      <c r="U33" s="6">
        <f t="shared" si="10"/>
        <v>7.9000000000000001E-2</v>
      </c>
      <c r="V33" s="6">
        <f>IFERROR(S33*INDEX([1]Sheet1!$A$1:$A$13,MATCH(S33,[1]Sheet1!$B$1:$B$13)),0)</f>
        <v>7.9</v>
      </c>
      <c r="W33" s="1" t="s">
        <v>333</v>
      </c>
      <c r="X33" t="s">
        <v>259</v>
      </c>
      <c r="Y33" t="s">
        <v>301</v>
      </c>
      <c r="AB33" s="1" t="str">
        <f t="shared" si="11"/>
        <v/>
      </c>
    </row>
    <row r="34" spans="1:28" ht="30" x14ac:dyDescent="0.25">
      <c r="A34" s="87">
        <v>11</v>
      </c>
      <c r="B34" s="90" t="s">
        <v>100</v>
      </c>
      <c r="C34" s="88" t="s">
        <v>136</v>
      </c>
      <c r="D34" s="88" t="s">
        <v>149</v>
      </c>
      <c r="E34" s="89">
        <v>1</v>
      </c>
      <c r="F34" s="4" t="s">
        <v>331</v>
      </c>
      <c r="G34" s="87" t="s">
        <v>212</v>
      </c>
      <c r="H34" s="5">
        <f t="shared" si="3"/>
        <v>5</v>
      </c>
      <c r="I34" s="92">
        <v>0.1</v>
      </c>
      <c r="J34" s="6">
        <f t="shared" si="4"/>
        <v>0.1</v>
      </c>
      <c r="K34" s="6">
        <f t="shared" si="12"/>
        <v>0.5</v>
      </c>
      <c r="L34" s="6">
        <f>IFERROR(I34*INDEX([1]Sheet1!$A$1:$A$13,MATCH(I34,[1]Sheet1!$B$1:$B$13)),0)</f>
        <v>10</v>
      </c>
      <c r="M34" s="5">
        <f t="shared" si="5"/>
        <v>25</v>
      </c>
      <c r="N34" s="92">
        <v>8.9999999999999993E-3</v>
      </c>
      <c r="O34" s="6">
        <f t="shared" si="6"/>
        <v>8.9999999999999993E-3</v>
      </c>
      <c r="P34" s="6">
        <f t="shared" si="7"/>
        <v>0.1</v>
      </c>
      <c r="Q34" s="6">
        <f>IFERROR(N34*INDEX([1]Sheet1!$A$1:$A$13,MATCH(N34,[1]Sheet1!$B$1:$B$13)),0)</f>
        <v>2.25</v>
      </c>
      <c r="R34" s="5">
        <f t="shared" si="8"/>
        <v>50</v>
      </c>
      <c r="S34" s="92">
        <v>8.9999999999999993E-3</v>
      </c>
      <c r="T34" s="6">
        <f t="shared" si="9"/>
        <v>8.9999999999999993E-3</v>
      </c>
      <c r="U34" s="6">
        <f t="shared" si="10"/>
        <v>0.05</v>
      </c>
      <c r="V34" s="6">
        <f>IFERROR(S34*INDEX([1]Sheet1!$A$1:$A$13,MATCH(S34,[1]Sheet1!$B$1:$B$13)),0)</f>
        <v>2.25</v>
      </c>
      <c r="W34" s="1" t="s">
        <v>333</v>
      </c>
      <c r="X34" t="s">
        <v>260</v>
      </c>
      <c r="Y34" t="s">
        <v>149</v>
      </c>
      <c r="AB34" s="1" t="str">
        <f t="shared" si="11"/>
        <v/>
      </c>
    </row>
    <row r="35" spans="1:28" ht="15" x14ac:dyDescent="0.25">
      <c r="A35" s="87">
        <v>12</v>
      </c>
      <c r="B35" s="88" t="s">
        <v>101</v>
      </c>
      <c r="C35" s="88" t="s">
        <v>136</v>
      </c>
      <c r="D35" s="88" t="s">
        <v>150</v>
      </c>
      <c r="E35" s="89">
        <v>2</v>
      </c>
      <c r="F35" s="4" t="s">
        <v>331</v>
      </c>
      <c r="G35" s="87" t="s">
        <v>213</v>
      </c>
      <c r="H35" s="5">
        <f t="shared" si="3"/>
        <v>10</v>
      </c>
      <c r="I35" s="92">
        <v>8.9999999999999993E-3</v>
      </c>
      <c r="J35" s="6">
        <f t="shared" si="4"/>
        <v>1.7999999999999999E-2</v>
      </c>
      <c r="K35" s="6">
        <f t="shared" si="12"/>
        <v>0.5</v>
      </c>
      <c r="L35" s="6">
        <f>IFERROR(I35*INDEX([1]Sheet1!$A$1:$A$13,MATCH(I35,[1]Sheet1!$B$1:$B$13)),0)</f>
        <v>2.25</v>
      </c>
      <c r="M35" s="5">
        <f t="shared" si="5"/>
        <v>50</v>
      </c>
      <c r="N35" s="92">
        <v>8.9999999999999993E-3</v>
      </c>
      <c r="O35" s="6">
        <f t="shared" si="6"/>
        <v>1.7999999999999999E-2</v>
      </c>
      <c r="P35" s="6">
        <f t="shared" si="7"/>
        <v>0.1</v>
      </c>
      <c r="Q35" s="6">
        <f>IFERROR(N35*INDEX([1]Sheet1!$A$1:$A$13,MATCH(N35,[1]Sheet1!$B$1:$B$13)),0)</f>
        <v>2.25</v>
      </c>
      <c r="R35" s="5">
        <f t="shared" si="8"/>
        <v>100</v>
      </c>
      <c r="S35" s="92">
        <v>5.0000000000000001E-3</v>
      </c>
      <c r="T35" s="6">
        <f t="shared" si="9"/>
        <v>0.01</v>
      </c>
      <c r="U35" s="6">
        <f t="shared" si="10"/>
        <v>0.05</v>
      </c>
      <c r="V35" s="6">
        <f>IFERROR(S35*INDEX([1]Sheet1!$A$1:$A$13,MATCH(S35,[1]Sheet1!$B$1:$B$13)),0)</f>
        <v>1.25</v>
      </c>
      <c r="W35" s="1" t="s">
        <v>333</v>
      </c>
      <c r="X35" t="s">
        <v>261</v>
      </c>
      <c r="Y35" t="s">
        <v>302</v>
      </c>
      <c r="AB35" s="1" t="str">
        <f t="shared" si="11"/>
        <v/>
      </c>
    </row>
    <row r="36" spans="1:28" ht="15" x14ac:dyDescent="0.25">
      <c r="A36" s="87">
        <v>13</v>
      </c>
      <c r="B36" s="88" t="s">
        <v>102</v>
      </c>
      <c r="C36" s="88" t="s">
        <v>136</v>
      </c>
      <c r="D36" s="88" t="s">
        <v>151</v>
      </c>
      <c r="E36" s="89">
        <v>1</v>
      </c>
      <c r="F36" s="4" t="s">
        <v>331</v>
      </c>
      <c r="G36" s="87" t="s">
        <v>214</v>
      </c>
      <c r="H36" s="5">
        <f t="shared" si="3"/>
        <v>5</v>
      </c>
      <c r="I36" s="92">
        <v>0.1</v>
      </c>
      <c r="J36" s="6">
        <f t="shared" si="4"/>
        <v>0.1</v>
      </c>
      <c r="K36" s="6">
        <f t="shared" si="12"/>
        <v>0.5</v>
      </c>
      <c r="L36" s="6">
        <f>IFERROR(I36*INDEX([1]Sheet1!$A$1:$A$13,MATCH(I36,[1]Sheet1!$B$1:$B$13)),0)</f>
        <v>10</v>
      </c>
      <c r="M36" s="5">
        <f t="shared" si="5"/>
        <v>25</v>
      </c>
      <c r="N36" s="92">
        <v>1.7999999999999999E-2</v>
      </c>
      <c r="O36" s="6">
        <f t="shared" si="6"/>
        <v>1.7999999999999999E-2</v>
      </c>
      <c r="P36" s="6">
        <f t="shared" si="7"/>
        <v>0.1</v>
      </c>
      <c r="Q36" s="6">
        <f>IFERROR(N36*INDEX([1]Sheet1!$A$1:$A$13,MATCH(N36,[1]Sheet1!$B$1:$B$13)),0)</f>
        <v>4.5</v>
      </c>
      <c r="R36" s="5">
        <f t="shared" si="8"/>
        <v>50</v>
      </c>
      <c r="S36" s="92">
        <v>1.7999999999999999E-2</v>
      </c>
      <c r="T36" s="6">
        <f t="shared" si="9"/>
        <v>1.7999999999999999E-2</v>
      </c>
      <c r="U36" s="6">
        <f t="shared" si="10"/>
        <v>0.05</v>
      </c>
      <c r="V36" s="6">
        <f>IFERROR(S36*INDEX([1]Sheet1!$A$1:$A$13,MATCH(S36,[1]Sheet1!$B$1:$B$13)),0)</f>
        <v>4.5</v>
      </c>
      <c r="W36" s="1" t="s">
        <v>333</v>
      </c>
      <c r="X36" t="s">
        <v>262</v>
      </c>
      <c r="Y36" t="s">
        <v>303</v>
      </c>
      <c r="AB36" s="1" t="str">
        <f t="shared" si="11"/>
        <v/>
      </c>
    </row>
    <row r="37" spans="1:28" ht="15" x14ac:dyDescent="0.25">
      <c r="A37" s="87">
        <v>14</v>
      </c>
      <c r="B37" s="88" t="s">
        <v>103</v>
      </c>
      <c r="C37" s="88" t="s">
        <v>138</v>
      </c>
      <c r="D37" s="88" t="s">
        <v>152</v>
      </c>
      <c r="E37" s="89">
        <v>2</v>
      </c>
      <c r="F37" s="4" t="s">
        <v>331</v>
      </c>
      <c r="G37" s="87" t="s">
        <v>215</v>
      </c>
      <c r="H37" s="5">
        <f t="shared" si="3"/>
        <v>10</v>
      </c>
      <c r="I37" s="92">
        <v>7.0999999999999994E-2</v>
      </c>
      <c r="J37" s="6">
        <f t="shared" si="4"/>
        <v>0.14199999999999999</v>
      </c>
      <c r="K37" s="6">
        <f t="shared" si="12"/>
        <v>0.5</v>
      </c>
      <c r="L37" s="6">
        <f>IFERROR(I37*INDEX([1]Sheet1!$A$1:$A$13,MATCH(I37,[1]Sheet1!$B$1:$B$13)),0)</f>
        <v>7.1</v>
      </c>
      <c r="M37" s="5">
        <f t="shared" si="5"/>
        <v>50</v>
      </c>
      <c r="N37" s="92">
        <v>7.0999999999999994E-2</v>
      </c>
      <c r="O37" s="6">
        <f t="shared" si="6"/>
        <v>0.14199999999999999</v>
      </c>
      <c r="P37" s="6">
        <f t="shared" si="7"/>
        <v>0.14199999999999999</v>
      </c>
      <c r="Q37" s="6">
        <f>IFERROR(N37*INDEX([1]Sheet1!$A$1:$A$13,MATCH(N37,[1]Sheet1!$B$1:$B$13)),0)</f>
        <v>7.1</v>
      </c>
      <c r="R37" s="5">
        <f t="shared" si="8"/>
        <v>100</v>
      </c>
      <c r="S37" s="92">
        <v>4.2999999999999997E-2</v>
      </c>
      <c r="T37" s="6">
        <f t="shared" si="9"/>
        <v>8.5999999999999993E-2</v>
      </c>
      <c r="U37" s="6">
        <f t="shared" si="10"/>
        <v>8.5999999999999993E-2</v>
      </c>
      <c r="V37" s="6">
        <f>IFERROR(S37*INDEX([1]Sheet1!$A$1:$A$13,MATCH(S37,[1]Sheet1!$B$1:$B$13)),0)</f>
        <v>6.4499999999999993</v>
      </c>
      <c r="W37" s="1" t="s">
        <v>333</v>
      </c>
      <c r="X37" t="s">
        <v>263</v>
      </c>
      <c r="Y37" t="s">
        <v>304</v>
      </c>
      <c r="AB37" s="1" t="str">
        <f t="shared" si="11"/>
        <v/>
      </c>
    </row>
    <row r="38" spans="1:28" ht="15" x14ac:dyDescent="0.25">
      <c r="A38" s="87">
        <v>15</v>
      </c>
      <c r="B38" s="88" t="s">
        <v>104</v>
      </c>
      <c r="C38" s="88" t="s">
        <v>136</v>
      </c>
      <c r="D38" s="88" t="s">
        <v>153</v>
      </c>
      <c r="E38" s="89">
        <v>2</v>
      </c>
      <c r="F38" s="4" t="s">
        <v>331</v>
      </c>
      <c r="G38" s="87" t="s">
        <v>216</v>
      </c>
      <c r="H38" s="5">
        <f t="shared" si="3"/>
        <v>10</v>
      </c>
      <c r="I38" s="92">
        <v>8.0000000000000002E-3</v>
      </c>
      <c r="J38" s="6">
        <f t="shared" si="4"/>
        <v>1.6E-2</v>
      </c>
      <c r="K38" s="6">
        <f t="shared" si="12"/>
        <v>0.5</v>
      </c>
      <c r="L38" s="6">
        <f>IFERROR(I38*INDEX([1]Sheet1!$A$1:$A$13,MATCH(I38,[1]Sheet1!$B$1:$B$13)),0)</f>
        <v>2</v>
      </c>
      <c r="M38" s="5">
        <f t="shared" si="5"/>
        <v>50</v>
      </c>
      <c r="N38" s="92">
        <v>8.0000000000000002E-3</v>
      </c>
      <c r="O38" s="6">
        <f t="shared" si="6"/>
        <v>1.6E-2</v>
      </c>
      <c r="P38" s="6">
        <f t="shared" si="7"/>
        <v>0.1</v>
      </c>
      <c r="Q38" s="6">
        <f>IFERROR(N38*INDEX([1]Sheet1!$A$1:$A$13,MATCH(N38,[1]Sheet1!$B$1:$B$13)),0)</f>
        <v>2</v>
      </c>
      <c r="R38" s="5">
        <f t="shared" si="8"/>
        <v>100</v>
      </c>
      <c r="S38" s="92">
        <v>5.0000000000000001E-3</v>
      </c>
      <c r="T38" s="6">
        <f t="shared" si="9"/>
        <v>0.01</v>
      </c>
      <c r="U38" s="6">
        <f t="shared" si="10"/>
        <v>0.05</v>
      </c>
      <c r="V38" s="6">
        <f>IFERROR(S38*INDEX([1]Sheet1!$A$1:$A$13,MATCH(S38,[1]Sheet1!$B$1:$B$13)),0)</f>
        <v>1.25</v>
      </c>
      <c r="W38" s="1" t="s">
        <v>333</v>
      </c>
      <c r="X38" t="s">
        <v>264</v>
      </c>
      <c r="Y38" t="s">
        <v>305</v>
      </c>
      <c r="AB38" s="1" t="str">
        <f t="shared" si="11"/>
        <v/>
      </c>
    </row>
    <row r="39" spans="1:28" ht="15" x14ac:dyDescent="0.25">
      <c r="A39" s="87">
        <v>16</v>
      </c>
      <c r="B39" s="88" t="s">
        <v>105</v>
      </c>
      <c r="C39" s="88" t="s">
        <v>136</v>
      </c>
      <c r="D39" s="88" t="s">
        <v>154</v>
      </c>
      <c r="E39" s="89">
        <v>1</v>
      </c>
      <c r="F39" s="4" t="s">
        <v>331</v>
      </c>
      <c r="G39" s="87" t="s">
        <v>217</v>
      </c>
      <c r="H39" s="5">
        <f t="shared" si="3"/>
        <v>5</v>
      </c>
      <c r="I39" s="92">
        <v>0.31</v>
      </c>
      <c r="J39" s="6">
        <f t="shared" si="4"/>
        <v>0.31</v>
      </c>
      <c r="K39" s="6">
        <f t="shared" si="12"/>
        <v>0.5</v>
      </c>
      <c r="L39" s="6">
        <f>IFERROR(I39*INDEX([1]Sheet1!$A$1:$A$13,MATCH(I39,[1]Sheet1!$B$1:$B$13)),0)</f>
        <v>6.2</v>
      </c>
      <c r="M39" s="5">
        <f t="shared" si="5"/>
        <v>25</v>
      </c>
      <c r="N39" s="92">
        <v>0.186</v>
      </c>
      <c r="O39" s="6">
        <f t="shared" si="6"/>
        <v>0.186</v>
      </c>
      <c r="P39" s="6">
        <f t="shared" si="7"/>
        <v>0.186</v>
      </c>
      <c r="Q39" s="6">
        <f>IFERROR(N39*INDEX([1]Sheet1!$A$1:$A$13,MATCH(N39,[1]Sheet1!$B$1:$B$13)),0)</f>
        <v>6.51</v>
      </c>
      <c r="R39" s="5">
        <f t="shared" si="8"/>
        <v>50</v>
      </c>
      <c r="S39" s="92">
        <v>0.186</v>
      </c>
      <c r="T39" s="6">
        <f t="shared" si="9"/>
        <v>0.186</v>
      </c>
      <c r="U39" s="6">
        <f t="shared" si="10"/>
        <v>0.186</v>
      </c>
      <c r="V39" s="6">
        <f>IFERROR(S39*INDEX([1]Sheet1!$A$1:$A$13,MATCH(S39,[1]Sheet1!$B$1:$B$13)),0)</f>
        <v>6.51</v>
      </c>
      <c r="W39" s="1" t="s">
        <v>334</v>
      </c>
      <c r="X39" t="s">
        <v>265</v>
      </c>
      <c r="Y39" t="s">
        <v>306</v>
      </c>
      <c r="AB39" s="1" t="str">
        <f t="shared" si="11"/>
        <v/>
      </c>
    </row>
    <row r="40" spans="1:28" ht="30" x14ac:dyDescent="0.25">
      <c r="A40" s="87">
        <v>17</v>
      </c>
      <c r="B40" s="90" t="s">
        <v>106</v>
      </c>
      <c r="C40" s="88" t="s">
        <v>155</v>
      </c>
      <c r="D40" s="88" t="s">
        <v>156</v>
      </c>
      <c r="E40" s="89">
        <v>1</v>
      </c>
      <c r="F40" s="4" t="s">
        <v>331</v>
      </c>
      <c r="G40" s="87" t="s">
        <v>218</v>
      </c>
      <c r="H40" s="5">
        <f t="shared" si="3"/>
        <v>5</v>
      </c>
      <c r="I40" s="92">
        <v>3.5999999999999997E-2</v>
      </c>
      <c r="J40" s="6">
        <f t="shared" si="4"/>
        <v>3.5999999999999997E-2</v>
      </c>
      <c r="K40" s="6">
        <f t="shared" si="12"/>
        <v>0.5</v>
      </c>
      <c r="L40" s="6">
        <f>IFERROR(I40*INDEX([1]Sheet1!$A$1:$A$13,MATCH(I40,[1]Sheet1!$B$1:$B$13)),0)</f>
        <v>9</v>
      </c>
      <c r="M40" s="5">
        <f t="shared" si="5"/>
        <v>25</v>
      </c>
      <c r="N40" s="92">
        <v>3.5999999999999997E-2</v>
      </c>
      <c r="O40" s="6">
        <f t="shared" si="6"/>
        <v>3.5999999999999997E-2</v>
      </c>
      <c r="P40" s="6">
        <f t="shared" si="7"/>
        <v>0.1</v>
      </c>
      <c r="Q40" s="6">
        <f>IFERROR(N40*INDEX([1]Sheet1!$A$1:$A$13,MATCH(N40,[1]Sheet1!$B$1:$B$13)),0)</f>
        <v>9</v>
      </c>
      <c r="R40" s="5">
        <f t="shared" si="8"/>
        <v>50</v>
      </c>
      <c r="S40" s="92">
        <v>3.5999999999999997E-2</v>
      </c>
      <c r="T40" s="6">
        <f t="shared" si="9"/>
        <v>3.5999999999999997E-2</v>
      </c>
      <c r="U40" s="6">
        <f t="shared" si="10"/>
        <v>0.05</v>
      </c>
      <c r="V40" s="6">
        <f>IFERROR(S40*INDEX([1]Sheet1!$A$1:$A$13,MATCH(S40,[1]Sheet1!$B$1:$B$13)),0)</f>
        <v>9</v>
      </c>
      <c r="W40" s="103" t="s">
        <v>341</v>
      </c>
      <c r="X40"/>
      <c r="Y40"/>
      <c r="AB40" s="1" t="str">
        <f t="shared" si="11"/>
        <v/>
      </c>
    </row>
    <row r="41" spans="1:28" ht="15" x14ac:dyDescent="0.25">
      <c r="A41" s="87">
        <v>18</v>
      </c>
      <c r="B41" s="88" t="s">
        <v>107</v>
      </c>
      <c r="C41" s="88" t="s">
        <v>157</v>
      </c>
      <c r="D41" s="88" t="s">
        <v>158</v>
      </c>
      <c r="E41" s="89">
        <v>1</v>
      </c>
      <c r="F41" s="4" t="s">
        <v>331</v>
      </c>
      <c r="G41" s="87" t="s">
        <v>219</v>
      </c>
      <c r="H41" s="5">
        <f t="shared" si="3"/>
        <v>5</v>
      </c>
      <c r="I41" s="92">
        <v>3.04</v>
      </c>
      <c r="J41" s="6">
        <f t="shared" si="4"/>
        <v>3.04</v>
      </c>
      <c r="K41" s="6">
        <f t="shared" si="12"/>
        <v>3.04</v>
      </c>
      <c r="L41" s="6">
        <f>IFERROR(I41*INDEX([1]Sheet1!$A$1:$A$13,MATCH(I41,[1]Sheet1!$B$1:$B$13)),0)</f>
        <v>6.08</v>
      </c>
      <c r="M41" s="5">
        <f t="shared" si="5"/>
        <v>25</v>
      </c>
      <c r="N41" s="92">
        <v>2.39</v>
      </c>
      <c r="O41" s="6">
        <f t="shared" si="6"/>
        <v>2.39</v>
      </c>
      <c r="P41" s="6">
        <f t="shared" si="7"/>
        <v>2.39</v>
      </c>
      <c r="Q41" s="6">
        <f>IFERROR(N41*INDEX([1]Sheet1!$A$1:$A$13,MATCH(N41,[1]Sheet1!$B$1:$B$13)),0)</f>
        <v>11.950000000000001</v>
      </c>
      <c r="R41" s="5">
        <f t="shared" si="8"/>
        <v>50</v>
      </c>
      <c r="S41" s="92">
        <v>2.39</v>
      </c>
      <c r="T41" s="6">
        <f t="shared" si="9"/>
        <v>2.39</v>
      </c>
      <c r="U41" s="6">
        <f t="shared" si="10"/>
        <v>2.39</v>
      </c>
      <c r="V41" s="6">
        <f>IFERROR(S41*INDEX([1]Sheet1!$A$1:$A$13,MATCH(S41,[1]Sheet1!$B$1:$B$13)),0)</f>
        <v>11.950000000000001</v>
      </c>
      <c r="W41" s="1" t="s">
        <v>333</v>
      </c>
      <c r="X41" t="s">
        <v>266</v>
      </c>
      <c r="Y41" t="s">
        <v>307</v>
      </c>
      <c r="AB41" s="1" t="str">
        <f t="shared" si="11"/>
        <v/>
      </c>
    </row>
    <row r="42" spans="1:28" ht="15" x14ac:dyDescent="0.25">
      <c r="A42" s="87">
        <v>19</v>
      </c>
      <c r="B42" s="88" t="s">
        <v>108</v>
      </c>
      <c r="C42" s="88" t="s">
        <v>159</v>
      </c>
      <c r="D42" s="93">
        <v>760308101104</v>
      </c>
      <c r="E42" s="89">
        <v>1</v>
      </c>
      <c r="F42" s="4" t="s">
        <v>331</v>
      </c>
      <c r="G42" s="87" t="s">
        <v>220</v>
      </c>
      <c r="H42" s="5">
        <f t="shared" si="3"/>
        <v>5</v>
      </c>
      <c r="I42" s="92">
        <v>12.26</v>
      </c>
      <c r="J42" s="6">
        <f t="shared" si="4"/>
        <v>12.26</v>
      </c>
      <c r="K42" s="6">
        <f t="shared" si="12"/>
        <v>12.26</v>
      </c>
      <c r="L42" s="6">
        <f>IFERROR(I42*INDEX([1]Sheet1!$A$1:$A$13,MATCH(I42,[1]Sheet1!$B$1:$B$13)),0)</f>
        <v>0</v>
      </c>
      <c r="M42" s="5">
        <f t="shared" si="5"/>
        <v>25</v>
      </c>
      <c r="N42" s="92">
        <v>10.97</v>
      </c>
      <c r="O42" s="6">
        <f t="shared" si="6"/>
        <v>10.97</v>
      </c>
      <c r="P42" s="6">
        <f t="shared" si="7"/>
        <v>10.97</v>
      </c>
      <c r="Q42" s="6">
        <f>IFERROR(N42*INDEX([1]Sheet1!$A$1:$A$13,MATCH(N42,[1]Sheet1!$B$1:$B$13)),0)</f>
        <v>0</v>
      </c>
      <c r="R42" s="5">
        <f t="shared" si="8"/>
        <v>50</v>
      </c>
      <c r="S42" s="92">
        <v>9.99</v>
      </c>
      <c r="T42" s="6">
        <f t="shared" si="9"/>
        <v>9.99</v>
      </c>
      <c r="U42" s="6">
        <f t="shared" si="10"/>
        <v>9.99</v>
      </c>
      <c r="V42" s="6">
        <f>IFERROR(S42*INDEX([1]Sheet1!$A$1:$A$13,MATCH(S42,[1]Sheet1!$B$1:$B$13)),0)</f>
        <v>0</v>
      </c>
      <c r="W42" s="1" t="s">
        <v>333</v>
      </c>
      <c r="X42" t="s">
        <v>267</v>
      </c>
      <c r="Y42" t="s">
        <v>308</v>
      </c>
      <c r="AB42" s="1" t="str">
        <f t="shared" si="11"/>
        <v/>
      </c>
    </row>
    <row r="43" spans="1:28" ht="30" x14ac:dyDescent="0.25">
      <c r="A43" s="87">
        <v>20</v>
      </c>
      <c r="B43" s="90" t="s">
        <v>109</v>
      </c>
      <c r="C43" s="90" t="s">
        <v>160</v>
      </c>
      <c r="D43" s="90" t="s">
        <v>161</v>
      </c>
      <c r="E43" s="91">
        <v>1</v>
      </c>
      <c r="F43" s="4" t="s">
        <v>331</v>
      </c>
      <c r="G43" s="101" t="s">
        <v>221</v>
      </c>
      <c r="H43" s="5">
        <f t="shared" si="3"/>
        <v>5</v>
      </c>
      <c r="I43" s="92">
        <v>0.13</v>
      </c>
      <c r="J43" s="6">
        <f t="shared" si="4"/>
        <v>0.13</v>
      </c>
      <c r="K43" s="6">
        <f t="shared" si="12"/>
        <v>0.5</v>
      </c>
      <c r="L43" s="6">
        <f>IFERROR(I43*INDEX([1]Sheet1!$A$1:$A$13,MATCH(I43,[1]Sheet1!$B$1:$B$13)),0)</f>
        <v>13</v>
      </c>
      <c r="M43" s="5">
        <f t="shared" si="5"/>
        <v>25</v>
      </c>
      <c r="N43" s="92">
        <v>9.6000000000000002E-2</v>
      </c>
      <c r="O43" s="6">
        <f t="shared" si="6"/>
        <v>9.6000000000000002E-2</v>
      </c>
      <c r="P43" s="6">
        <f t="shared" si="7"/>
        <v>0.1</v>
      </c>
      <c r="Q43" s="6">
        <f>IFERROR(N43*INDEX([1]Sheet1!$A$1:$A$13,MATCH(N43,[1]Sheet1!$B$1:$B$13)),0)</f>
        <v>9.6</v>
      </c>
      <c r="R43" s="5">
        <f t="shared" si="8"/>
        <v>50</v>
      </c>
      <c r="S43" s="92">
        <v>9.6000000000000002E-2</v>
      </c>
      <c r="T43" s="6">
        <f t="shared" si="9"/>
        <v>9.6000000000000002E-2</v>
      </c>
      <c r="U43" s="6">
        <f t="shared" si="10"/>
        <v>9.6000000000000002E-2</v>
      </c>
      <c r="V43" s="6">
        <f>IFERROR(S43*INDEX([1]Sheet1!$A$1:$A$13,MATCH(S43,[1]Sheet1!$B$1:$B$13)),0)</f>
        <v>9.6</v>
      </c>
      <c r="W43" s="1" t="s">
        <v>333</v>
      </c>
      <c r="X43" s="86" t="s">
        <v>268</v>
      </c>
      <c r="Y43" s="86" t="s">
        <v>309</v>
      </c>
      <c r="AB43" s="1" t="str">
        <f t="shared" si="11"/>
        <v/>
      </c>
    </row>
    <row r="44" spans="1:28" ht="30" x14ac:dyDescent="0.25">
      <c r="A44" s="87">
        <v>21</v>
      </c>
      <c r="B44" s="90" t="s">
        <v>110</v>
      </c>
      <c r="C44" s="88" t="s">
        <v>136</v>
      </c>
      <c r="D44" s="88" t="s">
        <v>162</v>
      </c>
      <c r="E44" s="89">
        <v>1</v>
      </c>
      <c r="F44" s="4" t="s">
        <v>331</v>
      </c>
      <c r="G44" s="87" t="s">
        <v>222</v>
      </c>
      <c r="H44" s="5">
        <f t="shared" si="3"/>
        <v>5</v>
      </c>
      <c r="I44" s="6">
        <v>0.1</v>
      </c>
      <c r="J44" s="6">
        <f t="shared" si="4"/>
        <v>0.1</v>
      </c>
      <c r="K44" s="6">
        <f t="shared" si="12"/>
        <v>0.5</v>
      </c>
      <c r="L44" s="6">
        <f>IFERROR(I44*INDEX([1]Sheet1!$A$1:$A$13,MATCH(I44,[1]Sheet1!$B$1:$B$13)),0)</f>
        <v>10</v>
      </c>
      <c r="M44" s="5">
        <f t="shared" si="5"/>
        <v>25</v>
      </c>
      <c r="N44" s="6">
        <v>3.6999999999999998E-2</v>
      </c>
      <c r="O44" s="6">
        <f t="shared" si="6"/>
        <v>3.6999999999999998E-2</v>
      </c>
      <c r="P44" s="6">
        <f t="shared" si="7"/>
        <v>0.1</v>
      </c>
      <c r="Q44" s="6">
        <f>IFERROR(N44*INDEX([1]Sheet1!$A$1:$A$13,MATCH(N44,[1]Sheet1!$B$1:$B$13)),0)</f>
        <v>9.25</v>
      </c>
      <c r="R44" s="5">
        <f t="shared" si="8"/>
        <v>50</v>
      </c>
      <c r="S44" s="6">
        <v>3.6999999999999998E-2</v>
      </c>
      <c r="T44" s="6">
        <f t="shared" si="9"/>
        <v>3.6999999999999998E-2</v>
      </c>
      <c r="U44" s="6">
        <f t="shared" si="10"/>
        <v>0.05</v>
      </c>
      <c r="V44" s="6">
        <f>IFERROR(S44*INDEX([1]Sheet1!$A$1:$A$13,MATCH(S44,[1]Sheet1!$B$1:$B$13)),0)</f>
        <v>9.25</v>
      </c>
      <c r="W44" s="1" t="s">
        <v>337</v>
      </c>
      <c r="X44" t="s">
        <v>269</v>
      </c>
      <c r="Y44" t="s">
        <v>310</v>
      </c>
      <c r="AB44" s="1" t="str">
        <f t="shared" si="11"/>
        <v/>
      </c>
    </row>
    <row r="45" spans="1:28" ht="15" x14ac:dyDescent="0.25">
      <c r="A45" s="87">
        <v>22</v>
      </c>
      <c r="B45" s="88" t="s">
        <v>111</v>
      </c>
      <c r="C45" s="88" t="s">
        <v>136</v>
      </c>
      <c r="D45" s="88" t="s">
        <v>163</v>
      </c>
      <c r="E45" s="89">
        <v>1</v>
      </c>
      <c r="F45" s="4" t="s">
        <v>331</v>
      </c>
      <c r="G45" s="87" t="s">
        <v>223</v>
      </c>
      <c r="H45" s="5">
        <f t="shared" si="3"/>
        <v>5</v>
      </c>
      <c r="I45" s="92">
        <v>0.1</v>
      </c>
      <c r="J45" s="6">
        <f t="shared" si="4"/>
        <v>0.1</v>
      </c>
      <c r="K45" s="6">
        <f t="shared" si="12"/>
        <v>0.5</v>
      </c>
      <c r="L45" s="6">
        <f>IFERROR(I45*INDEX([1]Sheet1!$A$1:$A$13,MATCH(I45,[1]Sheet1!$B$1:$B$13)),0)</f>
        <v>10</v>
      </c>
      <c r="M45" s="5">
        <f t="shared" si="5"/>
        <v>25</v>
      </c>
      <c r="N45" s="92">
        <v>3.6999999999999998E-2</v>
      </c>
      <c r="O45" s="6">
        <f t="shared" si="6"/>
        <v>3.6999999999999998E-2</v>
      </c>
      <c r="P45" s="6">
        <f t="shared" si="7"/>
        <v>0.1</v>
      </c>
      <c r="Q45" s="6">
        <f>IFERROR(N45*INDEX([1]Sheet1!$A$1:$A$13,MATCH(N45,[1]Sheet1!$B$1:$B$13)),0)</f>
        <v>9.25</v>
      </c>
      <c r="R45" s="5">
        <f t="shared" si="8"/>
        <v>50</v>
      </c>
      <c r="S45" s="92">
        <v>3.6999999999999998E-2</v>
      </c>
      <c r="T45" s="6">
        <f t="shared" si="9"/>
        <v>3.6999999999999998E-2</v>
      </c>
      <c r="U45" s="6">
        <f t="shared" si="10"/>
        <v>0.05</v>
      </c>
      <c r="V45" s="6">
        <f>IFERROR(S45*INDEX([1]Sheet1!$A$1:$A$13,MATCH(S45,[1]Sheet1!$B$1:$B$13)),0)</f>
        <v>9.25</v>
      </c>
      <c r="W45" s="1" t="s">
        <v>333</v>
      </c>
      <c r="X45" t="s">
        <v>270</v>
      </c>
      <c r="Y45" t="s">
        <v>311</v>
      </c>
      <c r="AB45" s="1" t="str">
        <f t="shared" si="11"/>
        <v/>
      </c>
    </row>
    <row r="46" spans="1:28" ht="30" x14ac:dyDescent="0.25">
      <c r="A46" s="87">
        <v>23</v>
      </c>
      <c r="B46" s="90" t="s">
        <v>112</v>
      </c>
      <c r="C46" s="88" t="s">
        <v>136</v>
      </c>
      <c r="D46" s="88" t="s">
        <v>164</v>
      </c>
      <c r="E46" s="89">
        <v>1</v>
      </c>
      <c r="F46" s="4" t="s">
        <v>331</v>
      </c>
      <c r="G46" s="87" t="s">
        <v>224</v>
      </c>
      <c r="H46" s="5">
        <f t="shared" si="3"/>
        <v>5</v>
      </c>
      <c r="I46" s="92">
        <v>0.1</v>
      </c>
      <c r="J46" s="6">
        <f t="shared" si="4"/>
        <v>0.1</v>
      </c>
      <c r="K46" s="6">
        <f t="shared" si="12"/>
        <v>0.5</v>
      </c>
      <c r="L46" s="6">
        <f>IFERROR(I46*INDEX([1]Sheet1!$A$1:$A$13,MATCH(I46,[1]Sheet1!$B$1:$B$13)),0)</f>
        <v>10</v>
      </c>
      <c r="M46" s="5">
        <f t="shared" si="5"/>
        <v>25</v>
      </c>
      <c r="N46" s="92">
        <v>3.6999999999999998E-2</v>
      </c>
      <c r="O46" s="6">
        <f t="shared" si="6"/>
        <v>3.6999999999999998E-2</v>
      </c>
      <c r="P46" s="6">
        <f t="shared" si="7"/>
        <v>0.1</v>
      </c>
      <c r="Q46" s="6">
        <f>IFERROR(N46*INDEX([1]Sheet1!$A$1:$A$13,MATCH(N46,[1]Sheet1!$B$1:$B$13)),0)</f>
        <v>9.25</v>
      </c>
      <c r="R46" s="5">
        <f t="shared" si="8"/>
        <v>50</v>
      </c>
      <c r="S46" s="92">
        <v>3.6999999999999998E-2</v>
      </c>
      <c r="T46" s="6">
        <f t="shared" si="9"/>
        <v>3.6999999999999998E-2</v>
      </c>
      <c r="U46" s="6">
        <f t="shared" si="10"/>
        <v>0.05</v>
      </c>
      <c r="V46" s="6">
        <f>IFERROR(S46*INDEX([1]Sheet1!$A$1:$A$13,MATCH(S46,[1]Sheet1!$B$1:$B$13)),0)</f>
        <v>9.25</v>
      </c>
      <c r="W46" s="1" t="s">
        <v>333</v>
      </c>
      <c r="X46" t="s">
        <v>271</v>
      </c>
      <c r="Y46" t="s">
        <v>312</v>
      </c>
      <c r="AB46" s="1" t="str">
        <f t="shared" si="11"/>
        <v/>
      </c>
    </row>
    <row r="47" spans="1:28" ht="15" x14ac:dyDescent="0.25">
      <c r="A47" s="87">
        <v>24</v>
      </c>
      <c r="B47" s="88" t="s">
        <v>113</v>
      </c>
      <c r="C47" s="88" t="s">
        <v>165</v>
      </c>
      <c r="D47" s="88" t="s">
        <v>166</v>
      </c>
      <c r="E47" s="89">
        <v>1</v>
      </c>
      <c r="F47" s="4" t="s">
        <v>331</v>
      </c>
      <c r="G47" s="87" t="s">
        <v>225</v>
      </c>
      <c r="H47" s="5">
        <f t="shared" si="3"/>
        <v>5</v>
      </c>
      <c r="I47" s="92">
        <v>0.28999999999999998</v>
      </c>
      <c r="J47" s="6">
        <f t="shared" si="4"/>
        <v>0.28999999999999998</v>
      </c>
      <c r="K47" s="6">
        <f t="shared" si="12"/>
        <v>0.5</v>
      </c>
      <c r="L47" s="6">
        <f>IFERROR(I47*INDEX([1]Sheet1!$A$1:$A$13,MATCH(I47,[1]Sheet1!$B$1:$B$13)),0)</f>
        <v>5.8</v>
      </c>
      <c r="M47" s="5">
        <f t="shared" si="5"/>
        <v>25</v>
      </c>
      <c r="N47" s="92">
        <v>0.157</v>
      </c>
      <c r="O47" s="6">
        <f t="shared" si="6"/>
        <v>0.157</v>
      </c>
      <c r="P47" s="6">
        <f t="shared" si="7"/>
        <v>0.157</v>
      </c>
      <c r="Q47" s="6">
        <f>IFERROR(N47*INDEX([1]Sheet1!$A$1:$A$13,MATCH(N47,[1]Sheet1!$B$1:$B$13)),0)</f>
        <v>5.4950000000000001</v>
      </c>
      <c r="R47" s="5">
        <f t="shared" si="8"/>
        <v>50</v>
      </c>
      <c r="S47" s="92">
        <v>0.157</v>
      </c>
      <c r="T47" s="6">
        <f t="shared" si="9"/>
        <v>0.157</v>
      </c>
      <c r="U47" s="6">
        <f t="shared" si="10"/>
        <v>0.157</v>
      </c>
      <c r="V47" s="6">
        <f>IFERROR(S47*INDEX([1]Sheet1!$A$1:$A$13,MATCH(S47,[1]Sheet1!$B$1:$B$13)),0)</f>
        <v>5.4950000000000001</v>
      </c>
      <c r="W47" s="1" t="s">
        <v>333</v>
      </c>
      <c r="X47" t="s">
        <v>272</v>
      </c>
      <c r="Y47" t="s">
        <v>313</v>
      </c>
      <c r="AB47" s="1" t="str">
        <f t="shared" si="11"/>
        <v/>
      </c>
    </row>
    <row r="48" spans="1:28" ht="15" x14ac:dyDescent="0.25">
      <c r="A48" s="87">
        <v>25</v>
      </c>
      <c r="B48" s="88" t="s">
        <v>114</v>
      </c>
      <c r="C48" s="88" t="s">
        <v>167</v>
      </c>
      <c r="D48" s="88" t="s">
        <v>168</v>
      </c>
      <c r="E48" s="89">
        <v>1</v>
      </c>
      <c r="F48" s="4" t="s">
        <v>331</v>
      </c>
      <c r="G48" s="87" t="s">
        <v>226</v>
      </c>
      <c r="H48" s="5">
        <f t="shared" si="3"/>
        <v>5</v>
      </c>
      <c r="I48" s="92">
        <v>0.23</v>
      </c>
      <c r="J48" s="6">
        <f t="shared" si="4"/>
        <v>0.23</v>
      </c>
      <c r="K48" s="6">
        <f t="shared" si="12"/>
        <v>0.5</v>
      </c>
      <c r="L48" s="6">
        <f>IFERROR(I48*INDEX([1]Sheet1!$A$1:$A$13,MATCH(I48,[1]Sheet1!$B$1:$B$13)),0)</f>
        <v>8.0500000000000007</v>
      </c>
      <c r="M48" s="5">
        <f t="shared" si="5"/>
        <v>25</v>
      </c>
      <c r="N48" s="92">
        <v>0.124</v>
      </c>
      <c r="O48" s="6">
        <f t="shared" si="6"/>
        <v>0.124</v>
      </c>
      <c r="P48" s="6">
        <f t="shared" si="7"/>
        <v>0.124</v>
      </c>
      <c r="Q48" s="6">
        <f>IFERROR(N48*INDEX([1]Sheet1!$A$1:$A$13,MATCH(N48,[1]Sheet1!$B$1:$B$13)),0)</f>
        <v>12.4</v>
      </c>
      <c r="R48" s="5">
        <f t="shared" si="8"/>
        <v>50</v>
      </c>
      <c r="S48" s="92">
        <v>0.124</v>
      </c>
      <c r="T48" s="6">
        <f t="shared" si="9"/>
        <v>0.124</v>
      </c>
      <c r="U48" s="6">
        <f t="shared" si="10"/>
        <v>0.124</v>
      </c>
      <c r="V48" s="6">
        <f>IFERROR(S48*INDEX([1]Sheet1!$A$1:$A$13,MATCH(S48,[1]Sheet1!$B$1:$B$13)),0)</f>
        <v>12.4</v>
      </c>
      <c r="W48" s="1" t="s">
        <v>333</v>
      </c>
      <c r="X48" t="s">
        <v>273</v>
      </c>
      <c r="Y48" t="s">
        <v>314</v>
      </c>
      <c r="AB48" s="1" t="str">
        <f t="shared" si="11"/>
        <v/>
      </c>
    </row>
    <row r="49" spans="1:28" ht="30" x14ac:dyDescent="0.25">
      <c r="A49" s="87">
        <v>26</v>
      </c>
      <c r="B49" s="90" t="s">
        <v>115</v>
      </c>
      <c r="C49" s="88" t="s">
        <v>169</v>
      </c>
      <c r="D49" s="88" t="s">
        <v>170</v>
      </c>
      <c r="E49" s="89">
        <v>1</v>
      </c>
      <c r="F49" s="4" t="s">
        <v>331</v>
      </c>
      <c r="G49" s="87" t="s">
        <v>227</v>
      </c>
      <c r="H49" s="5">
        <f t="shared" si="3"/>
        <v>5</v>
      </c>
      <c r="I49" s="92">
        <v>0.1</v>
      </c>
      <c r="J49" s="6">
        <f t="shared" si="4"/>
        <v>0.1</v>
      </c>
      <c r="K49" s="6">
        <f t="shared" si="12"/>
        <v>0.5</v>
      </c>
      <c r="L49" s="6">
        <f>IFERROR(I49*INDEX([1]Sheet1!$A$1:$A$13,MATCH(I49,[1]Sheet1!$B$1:$B$13)),0)</f>
        <v>10</v>
      </c>
      <c r="M49" s="5">
        <f t="shared" si="5"/>
        <v>25</v>
      </c>
      <c r="N49" s="92">
        <v>1.9E-2</v>
      </c>
      <c r="O49" s="6">
        <f t="shared" si="6"/>
        <v>1.9E-2</v>
      </c>
      <c r="P49" s="6">
        <f t="shared" si="7"/>
        <v>0.1</v>
      </c>
      <c r="Q49" s="6">
        <f>IFERROR(N49*INDEX([1]Sheet1!$A$1:$A$13,MATCH(N49,[1]Sheet1!$B$1:$B$13)),0)</f>
        <v>4.75</v>
      </c>
      <c r="R49" s="5">
        <f t="shared" si="8"/>
        <v>50</v>
      </c>
      <c r="S49" s="92">
        <v>1.9E-2</v>
      </c>
      <c r="T49" s="6">
        <f t="shared" si="9"/>
        <v>1.9E-2</v>
      </c>
      <c r="U49" s="6">
        <f t="shared" si="10"/>
        <v>0.05</v>
      </c>
      <c r="V49" s="6">
        <f>IFERROR(S49*INDEX([1]Sheet1!$A$1:$A$13,MATCH(S49,[1]Sheet1!$B$1:$B$13)),0)</f>
        <v>4.75</v>
      </c>
      <c r="W49" s="1" t="s">
        <v>333</v>
      </c>
      <c r="X49" t="s">
        <v>274</v>
      </c>
      <c r="Y49" t="s">
        <v>170</v>
      </c>
      <c r="AB49" s="1" t="str">
        <f t="shared" si="11"/>
        <v/>
      </c>
    </row>
    <row r="50" spans="1:28" ht="30" x14ac:dyDescent="0.25">
      <c r="A50" s="87">
        <v>27</v>
      </c>
      <c r="B50" s="90" t="s">
        <v>116</v>
      </c>
      <c r="C50" s="88" t="s">
        <v>171</v>
      </c>
      <c r="D50" s="88" t="s">
        <v>172</v>
      </c>
      <c r="E50" s="89">
        <v>2</v>
      </c>
      <c r="F50" s="4" t="s">
        <v>331</v>
      </c>
      <c r="G50" s="87" t="s">
        <v>228</v>
      </c>
      <c r="H50" s="5">
        <f t="shared" si="3"/>
        <v>10</v>
      </c>
      <c r="I50" s="92">
        <v>4.0000000000000001E-3</v>
      </c>
      <c r="J50" s="6">
        <f t="shared" si="4"/>
        <v>8.0000000000000002E-3</v>
      </c>
      <c r="K50" s="6">
        <f t="shared" si="12"/>
        <v>0.5</v>
      </c>
      <c r="L50" s="6">
        <f>IFERROR(I50*INDEX([1]Sheet1!$A$1:$A$13,MATCH(I50,[1]Sheet1!$B$1:$B$13)),0)</f>
        <v>1</v>
      </c>
      <c r="M50" s="5">
        <f t="shared" si="5"/>
        <v>50</v>
      </c>
      <c r="N50" s="92">
        <v>4.0000000000000001E-3</v>
      </c>
      <c r="O50" s="6">
        <f t="shared" si="6"/>
        <v>8.0000000000000002E-3</v>
      </c>
      <c r="P50" s="6">
        <f t="shared" si="7"/>
        <v>0.1</v>
      </c>
      <c r="Q50" s="6">
        <f>IFERROR(N50*INDEX([1]Sheet1!$A$1:$A$13,MATCH(N50,[1]Sheet1!$B$1:$B$13)),0)</f>
        <v>1</v>
      </c>
      <c r="R50" s="5">
        <f t="shared" si="8"/>
        <v>100</v>
      </c>
      <c r="S50" s="92">
        <v>4.0000000000000001E-3</v>
      </c>
      <c r="T50" s="6">
        <f t="shared" si="9"/>
        <v>8.0000000000000002E-3</v>
      </c>
      <c r="U50" s="6">
        <f t="shared" si="10"/>
        <v>0.05</v>
      </c>
      <c r="V50" s="6">
        <f>IFERROR(S50*INDEX([1]Sheet1!$A$1:$A$13,MATCH(S50,[1]Sheet1!$B$1:$B$13)),0)</f>
        <v>1</v>
      </c>
      <c r="W50" s="103" t="s">
        <v>338</v>
      </c>
      <c r="X50"/>
      <c r="Y50" t="s">
        <v>315</v>
      </c>
      <c r="AB50" s="1" t="str">
        <f t="shared" si="11"/>
        <v/>
      </c>
    </row>
    <row r="51" spans="1:28" ht="30" x14ac:dyDescent="0.25">
      <c r="A51" s="87">
        <v>28</v>
      </c>
      <c r="B51" s="90" t="s">
        <v>117</v>
      </c>
      <c r="C51" s="88" t="s">
        <v>169</v>
      </c>
      <c r="D51" s="88" t="s">
        <v>173</v>
      </c>
      <c r="E51" s="89">
        <v>1</v>
      </c>
      <c r="F51" s="4" t="s">
        <v>331</v>
      </c>
      <c r="G51" s="87" t="s">
        <v>229</v>
      </c>
      <c r="H51" s="5">
        <f t="shared" si="3"/>
        <v>5</v>
      </c>
      <c r="I51" s="92">
        <v>0.17</v>
      </c>
      <c r="J51" s="6">
        <f t="shared" si="4"/>
        <v>0.17</v>
      </c>
      <c r="K51" s="6">
        <f t="shared" si="12"/>
        <v>0.5</v>
      </c>
      <c r="L51" s="6">
        <f>IFERROR(I51*INDEX([1]Sheet1!$A$1:$A$13,MATCH(I51,[1]Sheet1!$B$1:$B$13)),0)</f>
        <v>5.95</v>
      </c>
      <c r="M51" s="5">
        <f t="shared" si="5"/>
        <v>25</v>
      </c>
      <c r="N51" s="92">
        <v>8.5999999999999993E-2</v>
      </c>
      <c r="O51" s="6">
        <f t="shared" si="6"/>
        <v>8.5999999999999993E-2</v>
      </c>
      <c r="P51" s="6">
        <f t="shared" si="7"/>
        <v>0.1</v>
      </c>
      <c r="Q51" s="6">
        <f>IFERROR(N51*INDEX([1]Sheet1!$A$1:$A$13,MATCH(N51,[1]Sheet1!$B$1:$B$13)),0)</f>
        <v>8.6</v>
      </c>
      <c r="R51" s="5">
        <f t="shared" si="8"/>
        <v>50</v>
      </c>
      <c r="S51" s="92">
        <v>8.5999999999999993E-2</v>
      </c>
      <c r="T51" s="6">
        <f t="shared" si="9"/>
        <v>8.5999999999999993E-2</v>
      </c>
      <c r="U51" s="6">
        <f t="shared" si="10"/>
        <v>8.5999999999999993E-2</v>
      </c>
      <c r="V51" s="6">
        <f>IFERROR(S51*INDEX([1]Sheet1!$A$1:$A$13,MATCH(S51,[1]Sheet1!$B$1:$B$13)),0)</f>
        <v>8.6</v>
      </c>
      <c r="W51" s="1" t="s">
        <v>333</v>
      </c>
      <c r="X51" t="s">
        <v>275</v>
      </c>
      <c r="Y51" t="s">
        <v>316</v>
      </c>
      <c r="AB51" s="1" t="str">
        <f t="shared" si="11"/>
        <v/>
      </c>
    </row>
    <row r="52" spans="1:28" ht="30" x14ac:dyDescent="0.25">
      <c r="A52" s="87">
        <v>29</v>
      </c>
      <c r="B52" s="90" t="s">
        <v>118</v>
      </c>
      <c r="C52" s="88" t="s">
        <v>174</v>
      </c>
      <c r="D52" s="88" t="s">
        <v>175</v>
      </c>
      <c r="E52" s="89">
        <v>1</v>
      </c>
      <c r="F52" s="4" t="s">
        <v>331</v>
      </c>
      <c r="G52" s="87" t="s">
        <v>230</v>
      </c>
      <c r="H52" s="5">
        <f t="shared" si="3"/>
        <v>5</v>
      </c>
      <c r="I52" s="92">
        <v>0.1</v>
      </c>
      <c r="J52" s="6">
        <f t="shared" si="4"/>
        <v>0.1</v>
      </c>
      <c r="K52" s="6">
        <f t="shared" si="12"/>
        <v>0.5</v>
      </c>
      <c r="L52" s="6">
        <f>IFERROR(I52*INDEX([1]Sheet1!$A$1:$A$13,MATCH(I52,[1]Sheet1!$B$1:$B$13)),0)</f>
        <v>10</v>
      </c>
      <c r="M52" s="5">
        <f t="shared" si="5"/>
        <v>25</v>
      </c>
      <c r="N52" s="92">
        <v>8.9999999999999993E-3</v>
      </c>
      <c r="O52" s="6">
        <f t="shared" si="6"/>
        <v>8.9999999999999993E-3</v>
      </c>
      <c r="P52" s="6">
        <f t="shared" si="7"/>
        <v>0.1</v>
      </c>
      <c r="Q52" s="6">
        <f>IFERROR(N52*INDEX([1]Sheet1!$A$1:$A$13,MATCH(N52,[1]Sheet1!$B$1:$B$13)),0)</f>
        <v>2.25</v>
      </c>
      <c r="R52" s="5">
        <f t="shared" si="8"/>
        <v>50</v>
      </c>
      <c r="S52" s="92">
        <v>8.9999999999999993E-3</v>
      </c>
      <c r="T52" s="6">
        <f t="shared" si="9"/>
        <v>8.9999999999999993E-3</v>
      </c>
      <c r="U52" s="6">
        <f t="shared" si="10"/>
        <v>0.05</v>
      </c>
      <c r="V52" s="6">
        <f>IFERROR(S52*INDEX([1]Sheet1!$A$1:$A$13,MATCH(S52,[1]Sheet1!$B$1:$B$13)),0)</f>
        <v>2.25</v>
      </c>
      <c r="W52" s="1" t="s">
        <v>333</v>
      </c>
      <c r="X52" t="s">
        <v>276</v>
      </c>
      <c r="Y52" t="s">
        <v>317</v>
      </c>
      <c r="AB52" s="1" t="str">
        <f t="shared" si="11"/>
        <v/>
      </c>
    </row>
    <row r="53" spans="1:28" ht="30" x14ac:dyDescent="0.25">
      <c r="A53" s="87">
        <v>30</v>
      </c>
      <c r="B53" s="90" t="s">
        <v>119</v>
      </c>
      <c r="C53" s="88" t="s">
        <v>176</v>
      </c>
      <c r="D53" s="88" t="s">
        <v>177</v>
      </c>
      <c r="E53" s="89">
        <v>3</v>
      </c>
      <c r="F53" s="4" t="s">
        <v>331</v>
      </c>
      <c r="G53" s="87" t="s">
        <v>231</v>
      </c>
      <c r="H53" s="5">
        <f t="shared" si="3"/>
        <v>15</v>
      </c>
      <c r="I53" s="92">
        <v>1.6E-2</v>
      </c>
      <c r="J53" s="6">
        <f t="shared" si="4"/>
        <v>4.8000000000000001E-2</v>
      </c>
      <c r="K53" s="6">
        <f t="shared" si="12"/>
        <v>0.5</v>
      </c>
      <c r="L53" s="6">
        <f>IFERROR(I53*INDEX([1]Sheet1!$A$1:$A$13,MATCH(I53,[1]Sheet1!$B$1:$B$13)),0)</f>
        <v>4</v>
      </c>
      <c r="M53" s="5">
        <f t="shared" si="5"/>
        <v>75</v>
      </c>
      <c r="N53" s="92">
        <v>7.0000000000000001E-3</v>
      </c>
      <c r="O53" s="6">
        <f t="shared" si="6"/>
        <v>2.1000000000000001E-2</v>
      </c>
      <c r="P53" s="6">
        <f t="shared" si="7"/>
        <v>0.1</v>
      </c>
      <c r="Q53" s="6">
        <f>IFERROR(N53*INDEX([1]Sheet1!$A$1:$A$13,MATCH(N53,[1]Sheet1!$B$1:$B$13)),0)</f>
        <v>1.75</v>
      </c>
      <c r="R53" s="5">
        <f t="shared" si="8"/>
        <v>150</v>
      </c>
      <c r="S53" s="92">
        <v>5.0000000000000001E-3</v>
      </c>
      <c r="T53" s="6">
        <f t="shared" si="9"/>
        <v>1.4999999999999999E-2</v>
      </c>
      <c r="U53" s="6">
        <f t="shared" si="10"/>
        <v>0.05</v>
      </c>
      <c r="V53" s="6">
        <f>IFERROR(S53*INDEX([1]Sheet1!$A$1:$A$13,MATCH(S53,[1]Sheet1!$B$1:$B$13)),0)</f>
        <v>1.25</v>
      </c>
      <c r="W53" s="1" t="s">
        <v>335</v>
      </c>
      <c r="X53" t="s">
        <v>277</v>
      </c>
      <c r="Y53" t="s">
        <v>318</v>
      </c>
      <c r="AB53" s="1" t="str">
        <f t="shared" si="11"/>
        <v/>
      </c>
    </row>
    <row r="54" spans="1:28" ht="30" x14ac:dyDescent="0.25">
      <c r="A54" s="87">
        <v>31</v>
      </c>
      <c r="B54" s="90" t="s">
        <v>120</v>
      </c>
      <c r="C54" s="88" t="s">
        <v>176</v>
      </c>
      <c r="D54" s="88" t="s">
        <v>178</v>
      </c>
      <c r="E54" s="89">
        <v>2</v>
      </c>
      <c r="F54" s="4" t="s">
        <v>331</v>
      </c>
      <c r="G54" s="87" t="s">
        <v>232</v>
      </c>
      <c r="H54" s="5">
        <f t="shared" si="3"/>
        <v>10</v>
      </c>
      <c r="I54" s="92">
        <v>1.0999999999999999E-2</v>
      </c>
      <c r="J54" s="6">
        <f t="shared" si="4"/>
        <v>2.1999999999999999E-2</v>
      </c>
      <c r="K54" s="6">
        <f t="shared" si="12"/>
        <v>0.5</v>
      </c>
      <c r="L54" s="6">
        <f>IFERROR(I54*INDEX([1]Sheet1!$A$1:$A$13,MATCH(I54,[1]Sheet1!$B$1:$B$13)),0)</f>
        <v>2.75</v>
      </c>
      <c r="M54" s="5">
        <f t="shared" si="5"/>
        <v>50</v>
      </c>
      <c r="N54" s="92">
        <v>1.0999999999999999E-2</v>
      </c>
      <c r="O54" s="6">
        <f t="shared" si="6"/>
        <v>2.1999999999999999E-2</v>
      </c>
      <c r="P54" s="6">
        <f t="shared" si="7"/>
        <v>0.1</v>
      </c>
      <c r="Q54" s="6">
        <f>IFERROR(N54*INDEX([1]Sheet1!$A$1:$A$13,MATCH(N54,[1]Sheet1!$B$1:$B$13)),0)</f>
        <v>2.75</v>
      </c>
      <c r="R54" s="5">
        <f t="shared" si="8"/>
        <v>100</v>
      </c>
      <c r="S54" s="92">
        <v>8.0000000000000002E-3</v>
      </c>
      <c r="T54" s="6">
        <f t="shared" si="9"/>
        <v>1.6E-2</v>
      </c>
      <c r="U54" s="6">
        <f t="shared" si="10"/>
        <v>0.05</v>
      </c>
      <c r="V54" s="6">
        <f>IFERROR(S54*INDEX([1]Sheet1!$A$1:$A$13,MATCH(S54,[1]Sheet1!$B$1:$B$13)),0)</f>
        <v>2</v>
      </c>
      <c r="W54" s="1" t="s">
        <v>333</v>
      </c>
      <c r="X54" t="s">
        <v>278</v>
      </c>
      <c r="Y54" t="s">
        <v>319</v>
      </c>
      <c r="AB54" s="1" t="str">
        <f t="shared" si="11"/>
        <v/>
      </c>
    </row>
    <row r="55" spans="1:28" ht="57.75" x14ac:dyDescent="0.25">
      <c r="A55" s="105">
        <v>32</v>
      </c>
      <c r="B55" s="106" t="s">
        <v>121</v>
      </c>
      <c r="C55" s="107" t="s">
        <v>176</v>
      </c>
      <c r="D55" s="107" t="s">
        <v>179</v>
      </c>
      <c r="E55" s="108">
        <v>1</v>
      </c>
      <c r="F55" s="109" t="s">
        <v>331</v>
      </c>
      <c r="G55" s="105" t="s">
        <v>233</v>
      </c>
      <c r="H55" s="110">
        <f t="shared" si="3"/>
        <v>5</v>
      </c>
      <c r="I55" s="111">
        <v>0.11</v>
      </c>
      <c r="J55" s="112">
        <f t="shared" si="4"/>
        <v>0.11</v>
      </c>
      <c r="K55" s="112">
        <f t="shared" si="12"/>
        <v>0.5</v>
      </c>
      <c r="L55" s="112">
        <f>IFERROR(I55*INDEX([1]Sheet1!$A$1:$A$13,MATCH(I55,[1]Sheet1!$B$1:$B$13)),0)</f>
        <v>11</v>
      </c>
      <c r="M55" s="110">
        <f t="shared" si="5"/>
        <v>25</v>
      </c>
      <c r="N55" s="111">
        <v>6.0999999999999999E-2</v>
      </c>
      <c r="O55" s="112">
        <f t="shared" si="6"/>
        <v>6.0999999999999999E-2</v>
      </c>
      <c r="P55" s="112">
        <f t="shared" si="7"/>
        <v>0.1</v>
      </c>
      <c r="Q55" s="112">
        <f>IFERROR(N55*INDEX([1]Sheet1!$A$1:$A$13,MATCH(N55,[1]Sheet1!$B$1:$B$13)),0)</f>
        <v>9.15</v>
      </c>
      <c r="R55" s="110">
        <f t="shared" si="8"/>
        <v>50</v>
      </c>
      <c r="S55" s="111">
        <v>6.0999999999999999E-2</v>
      </c>
      <c r="T55" s="112">
        <f t="shared" si="9"/>
        <v>6.0999999999999999E-2</v>
      </c>
      <c r="U55" s="112">
        <f t="shared" si="10"/>
        <v>6.0999999999999999E-2</v>
      </c>
      <c r="V55" s="112">
        <f>IFERROR(S55*INDEX([1]Sheet1!$A$1:$A$13,MATCH(S55,[1]Sheet1!$B$1:$B$13)),0)</f>
        <v>9.15</v>
      </c>
      <c r="W55" s="113" t="s">
        <v>343</v>
      </c>
      <c r="X55" t="s">
        <v>279</v>
      </c>
      <c r="Y55" t="s">
        <v>320</v>
      </c>
      <c r="AB55" s="1" t="str">
        <f t="shared" si="11"/>
        <v/>
      </c>
    </row>
    <row r="56" spans="1:28" ht="30" x14ac:dyDescent="0.25">
      <c r="A56" s="87">
        <v>33</v>
      </c>
      <c r="B56" s="90" t="s">
        <v>122</v>
      </c>
      <c r="C56" s="88" t="s">
        <v>176</v>
      </c>
      <c r="D56" s="88" t="s">
        <v>180</v>
      </c>
      <c r="E56" s="89">
        <v>1</v>
      </c>
      <c r="F56" s="4" t="s">
        <v>331</v>
      </c>
      <c r="G56" s="87" t="s">
        <v>234</v>
      </c>
      <c r="H56" s="5">
        <f t="shared" si="3"/>
        <v>5</v>
      </c>
      <c r="I56" s="92">
        <v>0.1</v>
      </c>
      <c r="J56" s="6">
        <f t="shared" si="4"/>
        <v>0.1</v>
      </c>
      <c r="K56" s="6">
        <f t="shared" si="12"/>
        <v>0.5</v>
      </c>
      <c r="L56" s="6">
        <f>IFERROR(I56*INDEX([1]Sheet1!$A$1:$A$13,MATCH(I56,[1]Sheet1!$B$1:$B$13)),0)</f>
        <v>10</v>
      </c>
      <c r="M56" s="5">
        <f t="shared" si="5"/>
        <v>25</v>
      </c>
      <c r="N56" s="92">
        <v>1.5599999999999999E-2</v>
      </c>
      <c r="O56" s="6">
        <f t="shared" si="6"/>
        <v>1.5599999999999999E-2</v>
      </c>
      <c r="P56" s="6">
        <f t="shared" si="7"/>
        <v>0.1</v>
      </c>
      <c r="Q56" s="6">
        <f>IFERROR(N56*INDEX([1]Sheet1!$A$1:$A$13,MATCH(N56,[1]Sheet1!$B$1:$B$13)),0)</f>
        <v>3.9</v>
      </c>
      <c r="R56" s="5">
        <f t="shared" si="8"/>
        <v>50</v>
      </c>
      <c r="S56" s="92">
        <v>1.38E-2</v>
      </c>
      <c r="T56" s="6">
        <f t="shared" si="9"/>
        <v>1.38E-2</v>
      </c>
      <c r="U56" s="6">
        <f t="shared" si="10"/>
        <v>0.05</v>
      </c>
      <c r="V56" s="6">
        <f>IFERROR(S56*INDEX([1]Sheet1!$A$1:$A$13,MATCH(S56,[1]Sheet1!$B$1:$B$13)),0)</f>
        <v>3.4499999999999997</v>
      </c>
      <c r="W56" s="1" t="s">
        <v>334</v>
      </c>
      <c r="X56" t="s">
        <v>280</v>
      </c>
      <c r="Y56" t="s">
        <v>321</v>
      </c>
      <c r="AB56" s="1" t="str">
        <f t="shared" si="11"/>
        <v/>
      </c>
    </row>
    <row r="57" spans="1:28" ht="30" x14ac:dyDescent="0.25">
      <c r="A57" s="87">
        <v>34</v>
      </c>
      <c r="B57" s="90" t="s">
        <v>122</v>
      </c>
      <c r="C57" s="88" t="s">
        <v>176</v>
      </c>
      <c r="D57" s="88" t="s">
        <v>180</v>
      </c>
      <c r="E57" s="89">
        <v>1</v>
      </c>
      <c r="F57" s="4" t="s">
        <v>331</v>
      </c>
      <c r="G57" s="87" t="s">
        <v>235</v>
      </c>
      <c r="H57" s="5">
        <f t="shared" si="3"/>
        <v>5</v>
      </c>
      <c r="I57" s="92">
        <v>0.1</v>
      </c>
      <c r="J57" s="6">
        <f t="shared" si="4"/>
        <v>0.1</v>
      </c>
      <c r="K57" s="6">
        <f t="shared" si="12"/>
        <v>0.5</v>
      </c>
      <c r="L57" s="6">
        <f>IFERROR(I57*INDEX([1]Sheet1!$A$1:$A$13,MATCH(I57,[1]Sheet1!$B$1:$B$13)),0)</f>
        <v>10</v>
      </c>
      <c r="M57" s="5">
        <f t="shared" si="5"/>
        <v>25</v>
      </c>
      <c r="N57" s="92">
        <v>1.5599999999999999E-2</v>
      </c>
      <c r="O57" s="6">
        <f t="shared" si="6"/>
        <v>1.5599999999999999E-2</v>
      </c>
      <c r="P57" s="6">
        <f t="shared" si="7"/>
        <v>0.1</v>
      </c>
      <c r="Q57" s="6">
        <f>IFERROR(N57*INDEX([1]Sheet1!$A$1:$A$13,MATCH(N57,[1]Sheet1!$B$1:$B$13)),0)</f>
        <v>3.9</v>
      </c>
      <c r="R57" s="5">
        <f t="shared" si="8"/>
        <v>50</v>
      </c>
      <c r="S57" s="92">
        <v>1.0999999999999999E-2</v>
      </c>
      <c r="T57" s="6">
        <f t="shared" si="9"/>
        <v>1.0999999999999999E-2</v>
      </c>
      <c r="U57" s="6">
        <f t="shared" si="10"/>
        <v>0.05</v>
      </c>
      <c r="V57" s="6">
        <f>IFERROR(S57*INDEX([1]Sheet1!$A$1:$A$13,MATCH(S57,[1]Sheet1!$B$1:$B$13)),0)</f>
        <v>2.75</v>
      </c>
      <c r="W57" s="1" t="s">
        <v>334</v>
      </c>
      <c r="X57" t="s">
        <v>280</v>
      </c>
      <c r="Y57" t="s">
        <v>321</v>
      </c>
      <c r="AB57" s="1" t="str">
        <f t="shared" si="11"/>
        <v/>
      </c>
    </row>
    <row r="58" spans="1:28" ht="43.5" x14ac:dyDescent="0.25">
      <c r="A58" s="105">
        <v>35</v>
      </c>
      <c r="B58" s="106" t="s">
        <v>123</v>
      </c>
      <c r="C58" s="107" t="s">
        <v>176</v>
      </c>
      <c r="D58" s="107" t="s">
        <v>181</v>
      </c>
      <c r="E58" s="108">
        <v>2</v>
      </c>
      <c r="F58" s="109" t="s">
        <v>331</v>
      </c>
      <c r="G58" s="105" t="s">
        <v>236</v>
      </c>
      <c r="H58" s="110">
        <f t="shared" si="3"/>
        <v>10</v>
      </c>
      <c r="I58" s="111">
        <v>4.9000000000000002E-2</v>
      </c>
      <c r="J58" s="112">
        <f t="shared" si="4"/>
        <v>9.8000000000000004E-2</v>
      </c>
      <c r="K58" s="112">
        <f t="shared" si="12"/>
        <v>0.5</v>
      </c>
      <c r="L58" s="112">
        <f>IFERROR(I58*INDEX([1]Sheet1!$A$1:$A$13,MATCH(I58,[1]Sheet1!$B$1:$B$13)),0)</f>
        <v>7.3500000000000005</v>
      </c>
      <c r="M58" s="110">
        <f t="shared" si="5"/>
        <v>50</v>
      </c>
      <c r="N58" s="111">
        <v>4.9000000000000002E-2</v>
      </c>
      <c r="O58" s="112">
        <f t="shared" si="6"/>
        <v>9.8000000000000004E-2</v>
      </c>
      <c r="P58" s="112">
        <f t="shared" si="7"/>
        <v>0.1</v>
      </c>
      <c r="Q58" s="112">
        <f>IFERROR(N58*INDEX([1]Sheet1!$A$1:$A$13,MATCH(N58,[1]Sheet1!$B$1:$B$13)),0)</f>
        <v>7.3500000000000005</v>
      </c>
      <c r="R58" s="110">
        <f t="shared" si="8"/>
        <v>100</v>
      </c>
      <c r="S58" s="111">
        <v>3.5999999999999997E-2</v>
      </c>
      <c r="T58" s="112">
        <f t="shared" si="9"/>
        <v>7.1999999999999995E-2</v>
      </c>
      <c r="U58" s="112">
        <f t="shared" si="10"/>
        <v>7.1999999999999995E-2</v>
      </c>
      <c r="V58" s="112">
        <f>IFERROR(S58*INDEX([1]Sheet1!$A$1:$A$13,MATCH(S58,[1]Sheet1!$B$1:$B$13)),0)</f>
        <v>9</v>
      </c>
      <c r="W58" s="113" t="s">
        <v>342</v>
      </c>
      <c r="X58" t="s">
        <v>281</v>
      </c>
      <c r="Y58" t="s">
        <v>322</v>
      </c>
      <c r="AB58" s="1" t="str">
        <f t="shared" si="11"/>
        <v/>
      </c>
    </row>
    <row r="59" spans="1:28" ht="15" x14ac:dyDescent="0.25">
      <c r="A59" s="87">
        <v>36</v>
      </c>
      <c r="B59" s="88" t="s">
        <v>124</v>
      </c>
      <c r="C59" s="88" t="s">
        <v>160</v>
      </c>
      <c r="D59" s="88" t="s">
        <v>182</v>
      </c>
      <c r="E59" s="89">
        <v>1</v>
      </c>
      <c r="F59" s="4" t="s">
        <v>331</v>
      </c>
      <c r="G59" s="87" t="s">
        <v>237</v>
      </c>
      <c r="H59" s="5">
        <f t="shared" si="3"/>
        <v>5</v>
      </c>
      <c r="I59" s="92">
        <v>0.1</v>
      </c>
      <c r="J59" s="6">
        <f t="shared" si="4"/>
        <v>0.1</v>
      </c>
      <c r="K59" s="6">
        <f t="shared" si="12"/>
        <v>0.5</v>
      </c>
      <c r="L59" s="6">
        <f>IFERROR(I59*INDEX([1]Sheet1!$A$1:$A$13,MATCH(I59,[1]Sheet1!$B$1:$B$13)),0)</f>
        <v>10</v>
      </c>
      <c r="M59" s="5">
        <f t="shared" si="5"/>
        <v>25</v>
      </c>
      <c r="N59" s="92">
        <v>6.3E-2</v>
      </c>
      <c r="O59" s="6">
        <f t="shared" si="6"/>
        <v>6.3E-2</v>
      </c>
      <c r="P59" s="6">
        <f t="shared" si="7"/>
        <v>0.1</v>
      </c>
      <c r="Q59" s="6">
        <f>IFERROR(N59*INDEX([1]Sheet1!$A$1:$A$13,MATCH(N59,[1]Sheet1!$B$1:$B$13)),0)</f>
        <v>9.4499999999999993</v>
      </c>
      <c r="R59" s="5">
        <f t="shared" si="8"/>
        <v>50</v>
      </c>
      <c r="S59" s="92">
        <v>6.3E-2</v>
      </c>
      <c r="T59" s="6">
        <f t="shared" si="9"/>
        <v>6.3E-2</v>
      </c>
      <c r="U59" s="6">
        <f t="shared" si="10"/>
        <v>6.3E-2</v>
      </c>
      <c r="V59" s="6">
        <f>IFERROR(S59*INDEX([1]Sheet1!$A$1:$A$13,MATCH(S59,[1]Sheet1!$B$1:$B$13)),0)</f>
        <v>9.4499999999999993</v>
      </c>
      <c r="W59" s="1" t="s">
        <v>333</v>
      </c>
      <c r="X59" t="s">
        <v>282</v>
      </c>
      <c r="Y59" t="s">
        <v>323</v>
      </c>
      <c r="AB59" s="1" t="str">
        <f t="shared" si="11"/>
        <v/>
      </c>
    </row>
    <row r="60" spans="1:28" ht="15" x14ac:dyDescent="0.25">
      <c r="A60" s="87">
        <v>37</v>
      </c>
      <c r="B60" s="88" t="s">
        <v>125</v>
      </c>
      <c r="C60" s="88" t="s">
        <v>183</v>
      </c>
      <c r="D60" s="88" t="s">
        <v>184</v>
      </c>
      <c r="E60" s="89">
        <v>1</v>
      </c>
      <c r="F60" s="4" t="s">
        <v>331</v>
      </c>
      <c r="G60" s="87" t="s">
        <v>238</v>
      </c>
      <c r="H60" s="5">
        <f t="shared" si="3"/>
        <v>5</v>
      </c>
      <c r="I60" s="92">
        <v>6.06</v>
      </c>
      <c r="J60" s="6">
        <f t="shared" si="4"/>
        <v>6.06</v>
      </c>
      <c r="K60" s="6">
        <f t="shared" si="12"/>
        <v>6.06</v>
      </c>
      <c r="L60" s="6">
        <f>IFERROR(I60*INDEX([1]Sheet1!$A$1:$A$13,MATCH(I60,[1]Sheet1!$B$1:$B$13)),0)</f>
        <v>0</v>
      </c>
      <c r="M60" s="5">
        <f t="shared" si="5"/>
        <v>25</v>
      </c>
      <c r="N60" s="92">
        <v>3.63</v>
      </c>
      <c r="O60" s="6">
        <f t="shared" si="6"/>
        <v>3.63</v>
      </c>
      <c r="P60" s="6">
        <f t="shared" si="7"/>
        <v>3.63</v>
      </c>
      <c r="Q60" s="6">
        <f>IFERROR(N60*INDEX([1]Sheet1!$A$1:$A$13,MATCH(N60,[1]Sheet1!$B$1:$B$13)),0)</f>
        <v>7.26</v>
      </c>
      <c r="R60" s="5">
        <f t="shared" si="8"/>
        <v>50</v>
      </c>
      <c r="S60" s="92">
        <v>3.63</v>
      </c>
      <c r="T60" s="6">
        <f t="shared" si="9"/>
        <v>3.63</v>
      </c>
      <c r="U60" s="6">
        <f t="shared" si="10"/>
        <v>3.63</v>
      </c>
      <c r="V60" s="6">
        <f>IFERROR(S60*INDEX([1]Sheet1!$A$1:$A$13,MATCH(S60,[1]Sheet1!$B$1:$B$13)),0)</f>
        <v>7.26</v>
      </c>
      <c r="W60" s="1" t="s">
        <v>333</v>
      </c>
      <c r="X60" t="s">
        <v>283</v>
      </c>
      <c r="Y60" t="s">
        <v>324</v>
      </c>
      <c r="AB60" s="1" t="str">
        <f t="shared" si="11"/>
        <v/>
      </c>
    </row>
    <row r="61" spans="1:28" ht="15" x14ac:dyDescent="0.25">
      <c r="A61" s="87">
        <v>38</v>
      </c>
      <c r="B61" s="88" t="s">
        <v>126</v>
      </c>
      <c r="C61" s="88" t="s">
        <v>185</v>
      </c>
      <c r="D61" s="88" t="s">
        <v>186</v>
      </c>
      <c r="E61" s="89">
        <v>1</v>
      </c>
      <c r="F61" s="4" t="s">
        <v>331</v>
      </c>
      <c r="G61" s="87" t="s">
        <v>239</v>
      </c>
      <c r="H61" s="5">
        <f t="shared" si="3"/>
        <v>5</v>
      </c>
      <c r="I61" s="92">
        <v>1.89</v>
      </c>
      <c r="J61" s="6">
        <f t="shared" si="4"/>
        <v>1.89</v>
      </c>
      <c r="K61" s="6">
        <f t="shared" ref="K61:K70" si="13">IF(J61&gt;0,IF(J61*$H$23&lt;2.5,2.5/$H$23,J61),0)</f>
        <v>1.89</v>
      </c>
      <c r="L61" s="6">
        <f>IFERROR(I61*INDEX([1]Sheet1!$A$1:$A$13,MATCH(I61,[1]Sheet1!$B$1:$B$13)),0)</f>
        <v>9.4499999999999993</v>
      </c>
      <c r="M61" s="5">
        <f t="shared" si="5"/>
        <v>25</v>
      </c>
      <c r="N61" s="92">
        <v>1.27</v>
      </c>
      <c r="O61" s="6">
        <f t="shared" si="6"/>
        <v>1.27</v>
      </c>
      <c r="P61" s="6">
        <f t="shared" ref="P61:P70" si="14">IF(O61&gt;0,IF(O61*$M$23&lt;2.5,2.5/$M$23,O61),0)</f>
        <v>1.27</v>
      </c>
      <c r="Q61" s="6">
        <f>IFERROR(N61*INDEX([1]Sheet1!$A$1:$A$13,MATCH(N61,[1]Sheet1!$B$1:$B$13)),0)</f>
        <v>6.35</v>
      </c>
      <c r="R61" s="5">
        <f t="shared" si="8"/>
        <v>50</v>
      </c>
      <c r="S61" s="92">
        <v>1.27</v>
      </c>
      <c r="T61" s="6">
        <f t="shared" si="9"/>
        <v>1.27</v>
      </c>
      <c r="U61" s="6">
        <f t="shared" ref="U61:U70" si="15">IF(T61&gt;0,IF(T61*$R$23&lt;2.5,2.5/$R$23,T61),0)</f>
        <v>1.27</v>
      </c>
      <c r="V61" s="6">
        <f>IFERROR(S61*INDEX([1]Sheet1!$A$1:$A$13,MATCH(S61,[1]Sheet1!$B$1:$B$13)),0)</f>
        <v>6.35</v>
      </c>
      <c r="W61" s="1" t="s">
        <v>333</v>
      </c>
      <c r="X61" t="s">
        <v>284</v>
      </c>
      <c r="Y61" t="s">
        <v>325</v>
      </c>
      <c r="AB61" s="1" t="str">
        <f t="shared" si="11"/>
        <v/>
      </c>
    </row>
    <row r="62" spans="1:28" ht="43.5" x14ac:dyDescent="0.25">
      <c r="A62" s="120">
        <v>39</v>
      </c>
      <c r="B62" s="121" t="s">
        <v>127</v>
      </c>
      <c r="C62" s="122" t="s">
        <v>187</v>
      </c>
      <c r="D62" s="122" t="s">
        <v>188</v>
      </c>
      <c r="E62" s="123">
        <v>1</v>
      </c>
      <c r="F62" s="124" t="s">
        <v>332</v>
      </c>
      <c r="G62" s="120" t="s">
        <v>240</v>
      </c>
      <c r="H62" s="125">
        <f t="shared" si="3"/>
        <v>5</v>
      </c>
      <c r="I62" s="126">
        <v>0</v>
      </c>
      <c r="J62" s="126">
        <f t="shared" si="4"/>
        <v>0</v>
      </c>
      <c r="K62" s="126">
        <f t="shared" si="13"/>
        <v>0</v>
      </c>
      <c r="L62" s="126">
        <f>IFERROR(I62*INDEX([1]Sheet1!$A$1:$A$13,MATCH(I62,[1]Sheet1!$B$1:$B$13)),0)</f>
        <v>0</v>
      </c>
      <c r="M62" s="125">
        <f t="shared" si="5"/>
        <v>25</v>
      </c>
      <c r="N62" s="126">
        <v>0</v>
      </c>
      <c r="O62" s="126">
        <f t="shared" si="6"/>
        <v>0</v>
      </c>
      <c r="P62" s="126">
        <f t="shared" si="14"/>
        <v>0</v>
      </c>
      <c r="Q62" s="126">
        <f>IFERROR(N62*INDEX([1]Sheet1!$A$1:$A$13,MATCH(N62,[1]Sheet1!$B$1:$B$13)),0)</f>
        <v>0</v>
      </c>
      <c r="R62" s="125">
        <f t="shared" si="8"/>
        <v>50</v>
      </c>
      <c r="S62" s="126">
        <v>0</v>
      </c>
      <c r="T62" s="126">
        <f t="shared" si="9"/>
        <v>0</v>
      </c>
      <c r="U62" s="126">
        <f t="shared" si="15"/>
        <v>0</v>
      </c>
      <c r="V62" s="126">
        <f>IFERROR(S62*INDEX([1]Sheet1!$A$1:$A$13,MATCH(S62,[1]Sheet1!$B$1:$B$13)),0)</f>
        <v>0</v>
      </c>
      <c r="W62" s="127" t="s">
        <v>344</v>
      </c>
      <c r="X62" t="s">
        <v>285</v>
      </c>
      <c r="Y62" t="s">
        <v>326</v>
      </c>
      <c r="AB62" s="1" t="str">
        <f t="shared" si="11"/>
        <v>ERROR</v>
      </c>
    </row>
    <row r="63" spans="1:28" ht="15" x14ac:dyDescent="0.25">
      <c r="A63" s="87">
        <v>40</v>
      </c>
      <c r="B63" s="88" t="s">
        <v>128</v>
      </c>
      <c r="C63" s="88" t="s">
        <v>189</v>
      </c>
      <c r="D63" s="88" t="s">
        <v>190</v>
      </c>
      <c r="E63" s="89">
        <v>1</v>
      </c>
      <c r="F63" s="4" t="s">
        <v>331</v>
      </c>
      <c r="G63" s="87" t="s">
        <v>241</v>
      </c>
      <c r="H63" s="5">
        <f t="shared" si="3"/>
        <v>5</v>
      </c>
      <c r="I63" s="92">
        <v>1.2</v>
      </c>
      <c r="J63" s="6">
        <f t="shared" si="4"/>
        <v>1.2</v>
      </c>
      <c r="K63" s="6">
        <f t="shared" si="13"/>
        <v>1.2</v>
      </c>
      <c r="L63" s="6">
        <f>IFERROR(I63*INDEX([1]Sheet1!$A$1:$A$13,MATCH(I63,[1]Sheet1!$B$1:$B$13)),0)</f>
        <v>6</v>
      </c>
      <c r="M63" s="5">
        <f t="shared" si="5"/>
        <v>25</v>
      </c>
      <c r="N63" s="92">
        <v>0.93400000000000005</v>
      </c>
      <c r="O63" s="6">
        <f t="shared" si="6"/>
        <v>0.93400000000000005</v>
      </c>
      <c r="P63" s="6">
        <f t="shared" si="14"/>
        <v>0.93400000000000005</v>
      </c>
      <c r="Q63" s="6">
        <f>IFERROR(N63*INDEX([1]Sheet1!$A$1:$A$13,MATCH(N63,[1]Sheet1!$B$1:$B$13)),0)</f>
        <v>9.34</v>
      </c>
      <c r="R63" s="5">
        <f t="shared" si="8"/>
        <v>50</v>
      </c>
      <c r="S63" s="92">
        <v>0.93400000000000005</v>
      </c>
      <c r="T63" s="6">
        <f t="shared" si="9"/>
        <v>0.93400000000000005</v>
      </c>
      <c r="U63" s="6">
        <f t="shared" si="15"/>
        <v>0.93400000000000005</v>
      </c>
      <c r="V63" s="6">
        <f>IFERROR(S63*INDEX([1]Sheet1!$A$1:$A$13,MATCH(S63,[1]Sheet1!$B$1:$B$13)),0)</f>
        <v>9.34</v>
      </c>
      <c r="W63" s="1" t="s">
        <v>333</v>
      </c>
      <c r="X63" t="s">
        <v>286</v>
      </c>
      <c r="Y63" t="s">
        <v>327</v>
      </c>
      <c r="AB63" s="1" t="str">
        <f t="shared" si="11"/>
        <v/>
      </c>
    </row>
    <row r="64" spans="1:28" ht="15" x14ac:dyDescent="0.25">
      <c r="A64" s="87">
        <v>41</v>
      </c>
      <c r="B64" s="88" t="s">
        <v>129</v>
      </c>
      <c r="C64" s="88" t="s">
        <v>189</v>
      </c>
      <c r="D64" s="88" t="s">
        <v>191</v>
      </c>
      <c r="E64" s="89">
        <v>1</v>
      </c>
      <c r="F64" s="4" t="s">
        <v>331</v>
      </c>
      <c r="G64" s="87" t="s">
        <v>242</v>
      </c>
      <c r="H64" s="5">
        <f t="shared" si="3"/>
        <v>5</v>
      </c>
      <c r="I64" s="92">
        <v>1.35</v>
      </c>
      <c r="J64" s="6">
        <f t="shared" si="4"/>
        <v>1.35</v>
      </c>
      <c r="K64" s="6">
        <f t="shared" si="13"/>
        <v>1.35</v>
      </c>
      <c r="L64" s="6">
        <f>IFERROR(I64*INDEX([1]Sheet1!$A$1:$A$13,MATCH(I64,[1]Sheet1!$B$1:$B$13)),0)</f>
        <v>6.75</v>
      </c>
      <c r="M64" s="5">
        <f t="shared" si="5"/>
        <v>25</v>
      </c>
      <c r="N64" s="92">
        <v>1.07</v>
      </c>
      <c r="O64" s="6">
        <f t="shared" si="6"/>
        <v>1.07</v>
      </c>
      <c r="P64" s="6">
        <f t="shared" si="14"/>
        <v>1.07</v>
      </c>
      <c r="Q64" s="6">
        <f>IFERROR(N64*INDEX([1]Sheet1!$A$1:$A$13,MATCH(N64,[1]Sheet1!$B$1:$B$13)),0)</f>
        <v>5.3500000000000005</v>
      </c>
      <c r="R64" s="5">
        <f t="shared" si="8"/>
        <v>50</v>
      </c>
      <c r="S64" s="92">
        <v>1.07</v>
      </c>
      <c r="T64" s="6">
        <f t="shared" si="9"/>
        <v>1.07</v>
      </c>
      <c r="U64" s="6">
        <f t="shared" si="15"/>
        <v>1.07</v>
      </c>
      <c r="V64" s="6">
        <f>IFERROR(S64*INDEX([1]Sheet1!$A$1:$A$13,MATCH(S64,[1]Sheet1!$B$1:$B$13)),0)</f>
        <v>5.3500000000000005</v>
      </c>
      <c r="W64" s="1" t="s">
        <v>333</v>
      </c>
      <c r="X64" t="s">
        <v>287</v>
      </c>
      <c r="Y64"/>
      <c r="AB64" s="1" t="str">
        <f t="shared" si="11"/>
        <v/>
      </c>
    </row>
    <row r="65" spans="1:28" ht="15" x14ac:dyDescent="0.25">
      <c r="A65" s="87">
        <v>42</v>
      </c>
      <c r="B65" s="88" t="s">
        <v>130</v>
      </c>
      <c r="C65" s="88" t="s">
        <v>185</v>
      </c>
      <c r="D65" s="88" t="s">
        <v>192</v>
      </c>
      <c r="E65" s="89">
        <v>1</v>
      </c>
      <c r="F65" s="4" t="s">
        <v>331</v>
      </c>
      <c r="G65" s="87" t="s">
        <v>243</v>
      </c>
      <c r="H65" s="5">
        <f t="shared" si="3"/>
        <v>5</v>
      </c>
      <c r="I65" s="92">
        <v>2.16</v>
      </c>
      <c r="J65" s="6">
        <f t="shared" si="4"/>
        <v>2.16</v>
      </c>
      <c r="K65" s="6">
        <f t="shared" si="13"/>
        <v>2.16</v>
      </c>
      <c r="L65" s="6">
        <f>IFERROR(I65*INDEX([1]Sheet1!$A$1:$A$13,MATCH(I65,[1]Sheet1!$B$1:$B$13)),0)</f>
        <v>10.8</v>
      </c>
      <c r="M65" s="5">
        <f t="shared" si="5"/>
        <v>25</v>
      </c>
      <c r="N65" s="92">
        <v>1.46</v>
      </c>
      <c r="O65" s="6">
        <f t="shared" si="6"/>
        <v>1.46</v>
      </c>
      <c r="P65" s="6">
        <f t="shared" si="14"/>
        <v>1.46</v>
      </c>
      <c r="Q65" s="6">
        <f>IFERROR(N65*INDEX([1]Sheet1!$A$1:$A$13,MATCH(N65,[1]Sheet1!$B$1:$B$13)),0)</f>
        <v>7.3</v>
      </c>
      <c r="R65" s="5">
        <f t="shared" si="8"/>
        <v>50</v>
      </c>
      <c r="S65" s="92">
        <v>1.46</v>
      </c>
      <c r="T65" s="6">
        <f t="shared" si="9"/>
        <v>1.46</v>
      </c>
      <c r="U65" s="6">
        <f t="shared" si="15"/>
        <v>1.46</v>
      </c>
      <c r="V65" s="6">
        <f>IFERROR(S65*INDEX([1]Sheet1!$A$1:$A$13,MATCH(S65,[1]Sheet1!$B$1:$B$13)),0)</f>
        <v>7.3</v>
      </c>
      <c r="W65" s="1" t="s">
        <v>333</v>
      </c>
      <c r="X65" t="s">
        <v>288</v>
      </c>
      <c r="Y65" t="s">
        <v>328</v>
      </c>
      <c r="AB65" s="1" t="str">
        <f t="shared" si="11"/>
        <v/>
      </c>
    </row>
    <row r="66" spans="1:28" ht="30" x14ac:dyDescent="0.25">
      <c r="A66" s="87">
        <v>43</v>
      </c>
      <c r="B66" s="90" t="s">
        <v>131</v>
      </c>
      <c r="C66" s="88" t="s">
        <v>185</v>
      </c>
      <c r="D66" s="88" t="s">
        <v>193</v>
      </c>
      <c r="E66" s="89">
        <v>1</v>
      </c>
      <c r="F66" s="4" t="s">
        <v>331</v>
      </c>
      <c r="G66" s="87" t="s">
        <v>244</v>
      </c>
      <c r="H66" s="5">
        <f t="shared" si="3"/>
        <v>5</v>
      </c>
      <c r="I66" s="92">
        <v>0.95</v>
      </c>
      <c r="J66" s="6">
        <f t="shared" si="4"/>
        <v>0.95</v>
      </c>
      <c r="K66" s="6">
        <f t="shared" si="13"/>
        <v>0.95</v>
      </c>
      <c r="L66" s="6">
        <f>IFERROR(I66*INDEX([1]Sheet1!$A$1:$A$13,MATCH(I66,[1]Sheet1!$B$1:$B$13)),0)</f>
        <v>9.5</v>
      </c>
      <c r="M66" s="5">
        <f t="shared" si="5"/>
        <v>25</v>
      </c>
      <c r="N66" s="92">
        <v>0.63400000000000001</v>
      </c>
      <c r="O66" s="6">
        <f t="shared" si="6"/>
        <v>0.63400000000000001</v>
      </c>
      <c r="P66" s="6">
        <f t="shared" si="14"/>
        <v>0.63400000000000001</v>
      </c>
      <c r="Q66" s="6">
        <f>IFERROR(N66*INDEX([1]Sheet1!$A$1:$A$13,MATCH(N66,[1]Sheet1!$B$1:$B$13)),0)</f>
        <v>6.34</v>
      </c>
      <c r="R66" s="5">
        <f t="shared" si="8"/>
        <v>50</v>
      </c>
      <c r="S66" s="92">
        <v>0.63400000000000001</v>
      </c>
      <c r="T66" s="6">
        <f t="shared" si="9"/>
        <v>0.63400000000000001</v>
      </c>
      <c r="U66" s="6">
        <f t="shared" si="15"/>
        <v>0.63400000000000001</v>
      </c>
      <c r="V66" s="6">
        <f>IFERROR(S66*INDEX([1]Sheet1!$A$1:$A$13,MATCH(S66,[1]Sheet1!$B$1:$B$13)),0)</f>
        <v>6.34</v>
      </c>
      <c r="W66" s="1" t="s">
        <v>333</v>
      </c>
      <c r="X66" t="s">
        <v>289</v>
      </c>
      <c r="Y66" t="s">
        <v>329</v>
      </c>
      <c r="AB66" s="1" t="str">
        <f t="shared" si="11"/>
        <v/>
      </c>
    </row>
    <row r="67" spans="1:28" ht="15" x14ac:dyDescent="0.25">
      <c r="A67" s="87">
        <v>44</v>
      </c>
      <c r="B67" s="88" t="s">
        <v>132</v>
      </c>
      <c r="C67" s="88" t="s">
        <v>194</v>
      </c>
      <c r="D67" s="88" t="s">
        <v>195</v>
      </c>
      <c r="E67" s="89">
        <v>1</v>
      </c>
      <c r="F67" s="4" t="s">
        <v>331</v>
      </c>
      <c r="G67" s="87" t="s">
        <v>245</v>
      </c>
      <c r="H67" s="5">
        <f t="shared" si="3"/>
        <v>5</v>
      </c>
      <c r="I67" s="92">
        <v>1.21</v>
      </c>
      <c r="J67" s="6">
        <f t="shared" si="4"/>
        <v>1.21</v>
      </c>
      <c r="K67" s="6">
        <f t="shared" si="13"/>
        <v>1.21</v>
      </c>
      <c r="L67" s="6">
        <f>IFERROR(I67*INDEX([1]Sheet1!$A$1:$A$13,MATCH(I67,[1]Sheet1!$B$1:$B$13)),0)</f>
        <v>6.05</v>
      </c>
      <c r="M67" s="5">
        <f t="shared" si="5"/>
        <v>25</v>
      </c>
      <c r="N67" s="92">
        <v>0.61199999999999999</v>
      </c>
      <c r="O67" s="6">
        <f t="shared" si="6"/>
        <v>0.61199999999999999</v>
      </c>
      <c r="P67" s="6">
        <f t="shared" si="14"/>
        <v>0.61199999999999999</v>
      </c>
      <c r="Q67" s="6">
        <f>IFERROR(N67*INDEX([1]Sheet1!$A$1:$A$13,MATCH(N67,[1]Sheet1!$B$1:$B$13)),0)</f>
        <v>6.12</v>
      </c>
      <c r="R67" s="5">
        <f t="shared" si="8"/>
        <v>50</v>
      </c>
      <c r="S67" s="92">
        <v>0.61199999999999999</v>
      </c>
      <c r="T67" s="6">
        <f t="shared" si="9"/>
        <v>0.61199999999999999</v>
      </c>
      <c r="U67" s="6">
        <f t="shared" si="15"/>
        <v>0.61199999999999999</v>
      </c>
      <c r="V67" s="6">
        <f>IFERROR(S67*INDEX([1]Sheet1!$A$1:$A$13,MATCH(S67,[1]Sheet1!$B$1:$B$13)),0)</f>
        <v>6.12</v>
      </c>
      <c r="W67" s="1" t="s">
        <v>334</v>
      </c>
      <c r="X67" t="s">
        <v>290</v>
      </c>
      <c r="Y67" t="s">
        <v>330</v>
      </c>
      <c r="AB67" s="1" t="str">
        <f t="shared" si="11"/>
        <v/>
      </c>
    </row>
    <row r="68" spans="1:28" ht="15" x14ac:dyDescent="0.25">
      <c r="A68" s="102">
        <v>45</v>
      </c>
      <c r="B68" s="94" t="s">
        <v>133</v>
      </c>
      <c r="C68" s="94" t="s">
        <v>196</v>
      </c>
      <c r="D68" s="94" t="s">
        <v>197</v>
      </c>
      <c r="E68" s="95">
        <v>1</v>
      </c>
      <c r="F68" s="96" t="s">
        <v>331</v>
      </c>
      <c r="G68" s="102" t="s">
        <v>246</v>
      </c>
      <c r="H68" s="97">
        <f t="shared" si="3"/>
        <v>5</v>
      </c>
      <c r="I68" s="98"/>
      <c r="J68" s="99">
        <f t="shared" si="4"/>
        <v>0</v>
      </c>
      <c r="K68" s="99">
        <f t="shared" si="13"/>
        <v>0</v>
      </c>
      <c r="L68" s="99">
        <f>IFERROR(I68*INDEX([1]Sheet1!$A$1:$A$13,MATCH(I68,[1]Sheet1!$B$1:$B$13)),0)</f>
        <v>0</v>
      </c>
      <c r="M68" s="97">
        <f t="shared" si="5"/>
        <v>25</v>
      </c>
      <c r="N68" s="98"/>
      <c r="O68" s="99">
        <f t="shared" si="6"/>
        <v>0</v>
      </c>
      <c r="P68" s="99">
        <f t="shared" si="14"/>
        <v>0</v>
      </c>
      <c r="Q68" s="99">
        <f>IFERROR(N68*INDEX([1]Sheet1!$A$1:$A$13,MATCH(N68,[1]Sheet1!$B$1:$B$13)),0)</f>
        <v>0</v>
      </c>
      <c r="R68" s="97">
        <f t="shared" si="8"/>
        <v>50</v>
      </c>
      <c r="S68" s="98"/>
      <c r="T68" s="99">
        <f t="shared" si="9"/>
        <v>0</v>
      </c>
      <c r="U68" s="99">
        <f t="shared" si="15"/>
        <v>0</v>
      </c>
      <c r="V68" s="99">
        <f>IFERROR(S68*INDEX([1]Sheet1!$A$1:$A$13,MATCH(S68,[1]Sheet1!$B$1:$B$13)),0)</f>
        <v>0</v>
      </c>
      <c r="W68" s="100" t="s">
        <v>336</v>
      </c>
      <c r="AB68" s="1" t="str">
        <f t="shared" si="11"/>
        <v>ERROR</v>
      </c>
    </row>
    <row r="69" spans="1:28" ht="30" x14ac:dyDescent="0.25">
      <c r="A69" s="87">
        <v>46</v>
      </c>
      <c r="B69" s="90" t="s">
        <v>134</v>
      </c>
      <c r="C69" s="88" t="s">
        <v>198</v>
      </c>
      <c r="D69" s="88" t="s">
        <v>199</v>
      </c>
      <c r="E69" s="89"/>
      <c r="F69" s="4"/>
      <c r="G69" s="87" t="s">
        <v>247</v>
      </c>
      <c r="H69" s="5">
        <f t="shared" si="3"/>
        <v>0</v>
      </c>
      <c r="I69" s="6"/>
      <c r="J69" s="6">
        <f t="shared" si="4"/>
        <v>0</v>
      </c>
      <c r="K69" s="6">
        <f t="shared" si="13"/>
        <v>0</v>
      </c>
      <c r="L69" s="6">
        <f>IFERROR(I69*INDEX([1]Sheet1!$A$1:$A$13,MATCH(I69,[1]Sheet1!$B$1:$B$13)),0)</f>
        <v>0</v>
      </c>
      <c r="M69" s="5">
        <f t="shared" si="5"/>
        <v>0</v>
      </c>
      <c r="N69" s="6"/>
      <c r="O69" s="6">
        <f t="shared" si="6"/>
        <v>0</v>
      </c>
      <c r="P69" s="6">
        <f t="shared" si="14"/>
        <v>0</v>
      </c>
      <c r="Q69" s="6">
        <f>IFERROR(N69*INDEX([1]Sheet1!$A$1:$A$13,MATCH(N69,[1]Sheet1!$B$1:$B$13)),0)</f>
        <v>0</v>
      </c>
      <c r="R69" s="5">
        <f t="shared" si="8"/>
        <v>0</v>
      </c>
      <c r="S69" s="6"/>
      <c r="T69" s="6">
        <f t="shared" si="9"/>
        <v>0</v>
      </c>
      <c r="U69" s="6">
        <f t="shared" si="15"/>
        <v>0</v>
      </c>
      <c r="V69" s="6">
        <f>IFERROR(S69*INDEX([1]Sheet1!$A$1:$A$13,MATCH(S69,[1]Sheet1!$B$1:$B$13)),0)</f>
        <v>0</v>
      </c>
      <c r="X69"/>
      <c r="Y69"/>
      <c r="AB69" s="1" t="str">
        <f t="shared" si="11"/>
        <v/>
      </c>
    </row>
    <row r="70" spans="1:28" ht="15" x14ac:dyDescent="0.25">
      <c r="A70" s="87">
        <v>47</v>
      </c>
      <c r="B70" s="88" t="s">
        <v>135</v>
      </c>
      <c r="C70" s="88" t="s">
        <v>200</v>
      </c>
      <c r="D70" s="88" t="s">
        <v>201</v>
      </c>
      <c r="E70" s="89">
        <v>1</v>
      </c>
      <c r="F70" s="4" t="s">
        <v>331</v>
      </c>
      <c r="G70" s="87" t="s">
        <v>248</v>
      </c>
      <c r="H70" s="5">
        <f t="shared" si="3"/>
        <v>5</v>
      </c>
      <c r="I70" s="6">
        <v>0.17080000000000001</v>
      </c>
      <c r="J70" s="6">
        <f t="shared" si="4"/>
        <v>0.17080000000000001</v>
      </c>
      <c r="K70" s="6">
        <f t="shared" si="13"/>
        <v>0.5</v>
      </c>
      <c r="L70" s="6">
        <f>IFERROR(I70*INDEX([1]Sheet1!$A$1:$A$13,MATCH(I70,[1]Sheet1!$B$1:$B$13)),0)</f>
        <v>5.9780000000000006</v>
      </c>
      <c r="M70" s="5">
        <f t="shared" si="5"/>
        <v>25</v>
      </c>
      <c r="N70" s="6">
        <v>0.17080000000000001</v>
      </c>
      <c r="O70" s="6">
        <f t="shared" si="6"/>
        <v>0.17080000000000001</v>
      </c>
      <c r="P70" s="6">
        <f t="shared" si="14"/>
        <v>0.17080000000000001</v>
      </c>
      <c r="Q70" s="6">
        <f>IFERROR(N70*INDEX([1]Sheet1!$A$1:$A$13,MATCH(N70,[1]Sheet1!$B$1:$B$13)),0)</f>
        <v>5.9780000000000006</v>
      </c>
      <c r="R70" s="5">
        <f t="shared" si="8"/>
        <v>50</v>
      </c>
      <c r="S70" s="6">
        <v>0.13450000000000001</v>
      </c>
      <c r="T70" s="6">
        <f t="shared" si="9"/>
        <v>0.13450000000000001</v>
      </c>
      <c r="U70" s="6">
        <f t="shared" si="15"/>
        <v>0.13450000000000001</v>
      </c>
      <c r="V70" s="6">
        <f>IFERROR(S70*INDEX([1]Sheet1!$A$1:$A$13,MATCH(S70,[1]Sheet1!$B$1:$B$13)),0)</f>
        <v>13.450000000000001</v>
      </c>
      <c r="W70" s="1" t="s">
        <v>339</v>
      </c>
      <c r="X70"/>
      <c r="Y70"/>
      <c r="AB70" s="1" t="str">
        <f t="shared" si="11"/>
        <v/>
      </c>
    </row>
    <row r="71" spans="1:28" ht="15" thickBot="1" x14ac:dyDescent="0.25">
      <c r="J71" s="2"/>
      <c r="K71" s="2"/>
      <c r="L71" s="2"/>
      <c r="O71" s="2"/>
      <c r="P71" s="2"/>
      <c r="Q71" s="2"/>
      <c r="T71" s="2"/>
      <c r="U71" s="2"/>
      <c r="V71" s="2"/>
    </row>
    <row r="72" spans="1:28" ht="15" x14ac:dyDescent="0.25">
      <c r="I72" s="20"/>
      <c r="J72" s="21" t="s">
        <v>7</v>
      </c>
      <c r="K72" s="22" t="s">
        <v>9</v>
      </c>
      <c r="L72" s="7" t="s">
        <v>21</v>
      </c>
      <c r="N72" s="20"/>
      <c r="O72" s="21" t="s">
        <v>7</v>
      </c>
      <c r="P72" s="22" t="s">
        <v>9</v>
      </c>
      <c r="Q72" s="7" t="s">
        <v>21</v>
      </c>
      <c r="S72" s="20"/>
      <c r="T72" s="21" t="s">
        <v>7</v>
      </c>
      <c r="U72" s="22" t="s">
        <v>9</v>
      </c>
      <c r="V72" s="7" t="s">
        <v>21</v>
      </c>
    </row>
    <row r="73" spans="1:28" ht="15" x14ac:dyDescent="0.25">
      <c r="D73" s="8"/>
      <c r="E73" s="8"/>
      <c r="I73" s="23" t="str">
        <f>CONCATENATE("EA ",H23)</f>
        <v>EA 5</v>
      </c>
      <c r="J73" s="9">
        <f>SUM(J24:J71)</f>
        <v>34.877400000000009</v>
      </c>
      <c r="K73" s="24">
        <f>SUM(K24:K71)</f>
        <v>47.620000000000012</v>
      </c>
      <c r="L73" s="19">
        <f>K73+L77/H23</f>
        <v>114.00160000000002</v>
      </c>
      <c r="N73" s="23" t="str">
        <f>CONCATENATE("EA ",M23)</f>
        <v>EA 25</v>
      </c>
      <c r="O73" s="9">
        <f>SUM(O24:O71)</f>
        <v>28.353999999999989</v>
      </c>
      <c r="P73" s="24">
        <f>SUM(P24:P71)</f>
        <v>29.748800000000017</v>
      </c>
      <c r="Q73" s="19">
        <f>P73+Q77/M23</f>
        <v>41.424520000000015</v>
      </c>
      <c r="S73" s="23" t="str">
        <f>CONCATENATE("EA ",R23)</f>
        <v>EA 50</v>
      </c>
      <c r="T73" s="9">
        <f>SUM(T24:T71)</f>
        <v>27.100299999999987</v>
      </c>
      <c r="U73" s="24">
        <f>SUM(U24:U71)</f>
        <v>27.580500000000001</v>
      </c>
      <c r="V73" s="19">
        <f>U73+V77/R23</f>
        <v>33.450800000000001</v>
      </c>
    </row>
    <row r="74" spans="1:28" ht="15.75" thickBot="1" x14ac:dyDescent="0.3">
      <c r="D74" s="8"/>
      <c r="E74" s="8"/>
      <c r="I74" s="25" t="str">
        <f>CONCATENATE("EA ",H23,"+")</f>
        <v>EA 5+</v>
      </c>
      <c r="J74" s="26">
        <f>IF(H23&lt;25,1.1,IF(H23&lt;50,1.08,IF(H23&lt;100,1.06,IF(H23&lt;250,1.05,IF(H23&lt;500,1.04,IF(H23&lt;1000,1.03,IF(H23&lt;2500,1.03,IF(H23&lt;5000,1.02,IF(H23&lt;10000,1.015,1.01)))))))))</f>
        <v>1.1000000000000001</v>
      </c>
      <c r="K74" s="27">
        <f>K73*J74</f>
        <v>52.382000000000019</v>
      </c>
      <c r="L74" s="28">
        <f>1-J73/L73</f>
        <v>0.69406218860086177</v>
      </c>
      <c r="N74" s="25" t="str">
        <f>CONCATENATE("EA ",M23,"+")</f>
        <v>EA 25+</v>
      </c>
      <c r="O74" s="26">
        <f>IF(M23&lt;25,1.1,IF(M23&lt;50,1.08,IF(M23&lt;100,1.06,IF(M23&lt;250,1.05,IF(M23&lt;500,1.04,IF(M23&lt;1000,1.03,IF(M23&lt;2500,1.03,IF(M23&lt;5000,1.02,IF(M23&lt;10000,1.015,1.01)))))))))</f>
        <v>1.08</v>
      </c>
      <c r="P74" s="27">
        <f>P73*O74</f>
        <v>32.12870400000002</v>
      </c>
      <c r="Q74" s="28">
        <f>1-O73/Q73</f>
        <v>0.3155261666278818</v>
      </c>
      <c r="S74" s="25" t="str">
        <f>CONCATENATE("EA ",R23,"+")</f>
        <v>EA 50+</v>
      </c>
      <c r="T74" s="26">
        <f>IF(R23&lt;25,1.1,IF(R23&lt;50,1.08,IF(R23&lt;100,1.06,IF(R23&lt;250,1.05,IF(R23&lt;500,1.04,IF(R23&lt;1000,1.03,IF(R23&lt;2500,1.03,IF(R23&lt;5000,1.02,IF(R23&lt;10000,1.015,1.01)))))))))</f>
        <v>1.06</v>
      </c>
      <c r="U74" s="27">
        <f>U73*T74</f>
        <v>29.235330000000001</v>
      </c>
      <c r="V74" s="28">
        <f>1-T73/V73</f>
        <v>0.18984598275676556</v>
      </c>
    </row>
    <row r="75" spans="1:28" x14ac:dyDescent="0.2">
      <c r="D75" s="8"/>
      <c r="E75" s="8"/>
      <c r="J75" s="8" t="s">
        <v>15</v>
      </c>
      <c r="O75" s="8"/>
      <c r="T75" s="8"/>
    </row>
    <row r="77" spans="1:28" ht="15" x14ac:dyDescent="0.25">
      <c r="K77" s="18" t="s">
        <v>22</v>
      </c>
      <c r="L77" s="2">
        <f>SUM(L24:L70)</f>
        <v>331.90800000000007</v>
      </c>
      <c r="P77" s="18" t="s">
        <v>22</v>
      </c>
      <c r="Q77" s="2">
        <f>SUM(Q24:Q70)</f>
        <v>291.89300000000003</v>
      </c>
      <c r="U77" s="18" t="s">
        <v>22</v>
      </c>
      <c r="V77" s="2">
        <f>SUM(V24:V70)</f>
        <v>293.51499999999999</v>
      </c>
    </row>
  </sheetData>
  <mergeCells count="1">
    <mergeCell ref="C6:D6"/>
  </mergeCells>
  <pageMargins left="0.25" right="0.25" top="0.75" bottom="0.75" header="0.3" footer="0.3"/>
  <pageSetup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A21E-CF73-4A9B-B16B-9E35C8200472}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C17-8BFD-4246-AB38-CD3A2BAC2DCB}">
  <dimension ref="J1:R28"/>
  <sheetViews>
    <sheetView zoomScale="85" zoomScaleNormal="85" workbookViewId="0">
      <selection activeCell="N5" sqref="N5"/>
    </sheetView>
  </sheetViews>
  <sheetFormatPr defaultRowHeight="15" x14ac:dyDescent="0.25"/>
  <cols>
    <col min="10" max="10" width="14.7109375" customWidth="1"/>
    <col min="11" max="11" width="16.42578125" customWidth="1"/>
    <col min="12" max="12" width="17.140625" customWidth="1"/>
    <col min="13" max="13" width="21.5703125" customWidth="1"/>
    <col min="14" max="15" width="23.5703125" customWidth="1"/>
    <col min="16" max="16" width="22.5703125" customWidth="1"/>
    <col min="17" max="17" width="12.28515625" customWidth="1"/>
    <col min="18" max="18" width="12.42578125" customWidth="1"/>
  </cols>
  <sheetData>
    <row r="1" spans="10:18" ht="28.5" x14ac:dyDescent="0.45">
      <c r="M1" s="56" t="s">
        <v>39</v>
      </c>
    </row>
    <row r="2" spans="10:18" ht="15.75" thickBot="1" x14ac:dyDescent="0.3"/>
    <row r="3" spans="10:18" ht="46.5" customHeight="1" x14ac:dyDescent="0.25">
      <c r="K3" s="116" t="s">
        <v>38</v>
      </c>
      <c r="L3" s="116" t="s">
        <v>37</v>
      </c>
      <c r="M3" s="55" t="s">
        <v>36</v>
      </c>
      <c r="N3" s="55" t="s">
        <v>35</v>
      </c>
      <c r="O3" s="55" t="s">
        <v>34</v>
      </c>
      <c r="P3" s="55" t="s">
        <v>33</v>
      </c>
      <c r="Q3" s="55" t="s">
        <v>33</v>
      </c>
    </row>
    <row r="4" spans="10:18" ht="47.25" thickBot="1" x14ac:dyDescent="0.3">
      <c r="K4" s="117"/>
      <c r="L4" s="117"/>
      <c r="M4" s="64" t="s">
        <v>52</v>
      </c>
      <c r="N4" s="64" t="s">
        <v>76</v>
      </c>
      <c r="O4" s="64" t="s">
        <v>51</v>
      </c>
      <c r="P4" s="64" t="s">
        <v>32</v>
      </c>
      <c r="Q4" s="64" t="s">
        <v>31</v>
      </c>
    </row>
    <row r="5" spans="10:18" ht="24" thickBot="1" x14ac:dyDescent="0.3">
      <c r="K5" s="66"/>
      <c r="L5" s="66"/>
      <c r="M5" s="66">
        <v>0.1</v>
      </c>
      <c r="N5" s="66">
        <v>0.2</v>
      </c>
      <c r="O5" s="66">
        <v>2</v>
      </c>
      <c r="P5" s="66">
        <f>K5*L5*M5*N5*O5</f>
        <v>0</v>
      </c>
      <c r="Q5" s="66">
        <f>P5/1.805</f>
        <v>0</v>
      </c>
    </row>
    <row r="7" spans="10:18" ht="29.25" thickBot="1" x14ac:dyDescent="0.5">
      <c r="L7" s="56"/>
      <c r="M7" s="56" t="s">
        <v>43</v>
      </c>
    </row>
    <row r="8" spans="10:18" ht="47.25" thickBot="1" x14ac:dyDescent="0.3">
      <c r="J8" s="57" t="s">
        <v>40</v>
      </c>
      <c r="K8" s="57" t="s">
        <v>48</v>
      </c>
      <c r="L8" s="57" t="s">
        <v>49</v>
      </c>
      <c r="M8" s="57" t="s">
        <v>45</v>
      </c>
      <c r="N8" s="58" t="s">
        <v>46</v>
      </c>
      <c r="O8" s="58" t="s">
        <v>35</v>
      </c>
      <c r="P8" s="57" t="s">
        <v>41</v>
      </c>
      <c r="Q8" s="57" t="s">
        <v>33</v>
      </c>
      <c r="R8" s="57" t="s">
        <v>33</v>
      </c>
    </row>
    <row r="9" spans="10:18" ht="47.25" thickBot="1" x14ac:dyDescent="0.3">
      <c r="J9" s="118"/>
      <c r="K9" s="57" t="s">
        <v>42</v>
      </c>
      <c r="L9" s="57" t="s">
        <v>42</v>
      </c>
      <c r="M9" s="57" t="s">
        <v>42</v>
      </c>
      <c r="N9" s="57" t="s">
        <v>47</v>
      </c>
      <c r="O9" s="64" t="s">
        <v>50</v>
      </c>
      <c r="P9" s="59"/>
      <c r="Q9" s="60" t="s">
        <v>32</v>
      </c>
      <c r="R9" s="60" t="s">
        <v>31</v>
      </c>
    </row>
    <row r="10" spans="10:18" ht="24" thickBot="1" x14ac:dyDescent="0.3">
      <c r="J10" s="119"/>
      <c r="K10" s="61"/>
      <c r="L10" s="61"/>
      <c r="M10" s="61"/>
      <c r="N10" s="62"/>
      <c r="O10" s="62"/>
      <c r="P10" s="61"/>
      <c r="Q10" s="63"/>
      <c r="R10" s="63"/>
    </row>
    <row r="11" spans="10:18" ht="24" thickBot="1" x14ac:dyDescent="0.3">
      <c r="J11" s="62"/>
      <c r="K11" s="62"/>
      <c r="L11" s="62"/>
      <c r="M11" s="62">
        <f>2*(K11+L11)</f>
        <v>0</v>
      </c>
      <c r="N11" s="62">
        <v>0.11</v>
      </c>
      <c r="O11" s="62">
        <v>1.2</v>
      </c>
      <c r="P11" s="61"/>
      <c r="Q11" s="63">
        <f>M11*N11*O11*P11</f>
        <v>0</v>
      </c>
      <c r="R11" s="63">
        <f>Q11/1.805</f>
        <v>0</v>
      </c>
    </row>
    <row r="13" spans="10:18" ht="29.25" thickBot="1" x14ac:dyDescent="0.5">
      <c r="L13" s="56"/>
      <c r="M13" s="56" t="s">
        <v>44</v>
      </c>
      <c r="N13" s="56"/>
    </row>
    <row r="14" spans="10:18" ht="47.25" thickBot="1" x14ac:dyDescent="0.3">
      <c r="J14" s="57" t="s">
        <v>40</v>
      </c>
      <c r="K14" s="57" t="s">
        <v>48</v>
      </c>
      <c r="L14" s="57" t="s">
        <v>49</v>
      </c>
      <c r="M14" s="57" t="s">
        <v>45</v>
      </c>
      <c r="N14" s="58" t="s">
        <v>46</v>
      </c>
      <c r="O14" s="58" t="s">
        <v>35</v>
      </c>
      <c r="P14" s="57" t="s">
        <v>41</v>
      </c>
      <c r="Q14" s="57" t="s">
        <v>33</v>
      </c>
      <c r="R14" s="57" t="s">
        <v>33</v>
      </c>
    </row>
    <row r="15" spans="10:18" ht="47.25" thickBot="1" x14ac:dyDescent="0.3">
      <c r="J15" s="118"/>
      <c r="K15" s="57" t="s">
        <v>42</v>
      </c>
      <c r="L15" s="57" t="s">
        <v>42</v>
      </c>
      <c r="M15" s="57" t="s">
        <v>42</v>
      </c>
      <c r="N15" s="57" t="s">
        <v>47</v>
      </c>
      <c r="O15" s="64" t="s">
        <v>50</v>
      </c>
      <c r="P15" s="59"/>
      <c r="Q15" s="60" t="s">
        <v>32</v>
      </c>
      <c r="R15" s="60" t="s">
        <v>31</v>
      </c>
    </row>
    <row r="16" spans="10:18" ht="24" thickBot="1" x14ac:dyDescent="0.3">
      <c r="J16" s="119"/>
      <c r="K16" s="61"/>
      <c r="L16" s="61"/>
      <c r="M16" s="61"/>
      <c r="N16" s="62"/>
      <c r="O16" s="62"/>
      <c r="P16" s="61"/>
      <c r="Q16" s="63"/>
      <c r="R16" s="63"/>
    </row>
    <row r="17" spans="10:18" ht="24" thickBot="1" x14ac:dyDescent="0.3">
      <c r="J17" s="62"/>
      <c r="K17" s="62"/>
      <c r="L17" s="62"/>
      <c r="M17" s="62">
        <f>2*(K17+L17)</f>
        <v>0</v>
      </c>
      <c r="N17" s="62">
        <v>0.11</v>
      </c>
      <c r="O17" s="62">
        <v>0.2</v>
      </c>
      <c r="P17" s="62"/>
      <c r="Q17" s="62">
        <f>M17*N17*O17*P17</f>
        <v>0</v>
      </c>
      <c r="R17" s="62">
        <f>Q17/1.805</f>
        <v>0</v>
      </c>
    </row>
    <row r="19" spans="10:18" ht="28.5" x14ac:dyDescent="0.45">
      <c r="M19" s="56" t="s">
        <v>53</v>
      </c>
    </row>
    <row r="20" spans="10:18" ht="15.75" thickBot="1" x14ac:dyDescent="0.3"/>
    <row r="21" spans="10:18" ht="46.5" x14ac:dyDescent="0.25">
      <c r="K21" s="116" t="s">
        <v>38</v>
      </c>
      <c r="L21" s="116" t="s">
        <v>37</v>
      </c>
      <c r="M21" s="65" t="s">
        <v>36</v>
      </c>
      <c r="N21" s="65" t="s">
        <v>35</v>
      </c>
      <c r="O21" s="65" t="s">
        <v>33</v>
      </c>
      <c r="P21" s="65" t="s">
        <v>33</v>
      </c>
    </row>
    <row r="22" spans="10:18" ht="47.25" thickBot="1" x14ac:dyDescent="0.3">
      <c r="K22" s="117"/>
      <c r="L22" s="117"/>
      <c r="M22" s="64" t="s">
        <v>54</v>
      </c>
      <c r="N22" s="64" t="s">
        <v>50</v>
      </c>
      <c r="O22" s="64" t="s">
        <v>32</v>
      </c>
      <c r="P22" s="64" t="s">
        <v>31</v>
      </c>
    </row>
    <row r="23" spans="10:18" ht="24" thickBot="1" x14ac:dyDescent="0.3">
      <c r="K23" s="66"/>
      <c r="L23" s="66"/>
      <c r="M23" s="66">
        <v>0.1</v>
      </c>
      <c r="N23" s="66">
        <v>0.25</v>
      </c>
      <c r="O23" s="66">
        <f>K23*L23*M23*N23</f>
        <v>0</v>
      </c>
      <c r="P23" s="66">
        <f>O23/1.805</f>
        <v>0</v>
      </c>
    </row>
    <row r="25" spans="10:18" ht="28.5" x14ac:dyDescent="0.45">
      <c r="K25" s="67"/>
      <c r="M25" s="56" t="s">
        <v>55</v>
      </c>
      <c r="N25" s="67"/>
      <c r="O25" s="67"/>
    </row>
    <row r="26" spans="10:18" ht="23.25" x14ac:dyDescent="0.35">
      <c r="K26" s="67"/>
      <c r="L26" s="67"/>
      <c r="M26" s="67"/>
      <c r="N26" s="67"/>
      <c r="O26" s="67"/>
    </row>
    <row r="27" spans="10:18" ht="116.25" x14ac:dyDescent="0.25">
      <c r="K27" s="68" t="s">
        <v>56</v>
      </c>
      <c r="L27" s="68" t="s">
        <v>57</v>
      </c>
      <c r="M27" s="68" t="s">
        <v>58</v>
      </c>
      <c r="N27" s="68" t="s">
        <v>59</v>
      </c>
      <c r="O27" s="68" t="s">
        <v>60</v>
      </c>
    </row>
    <row r="28" spans="10:18" ht="23.25" x14ac:dyDescent="0.25">
      <c r="K28" s="69"/>
      <c r="L28" s="69"/>
      <c r="M28" s="69">
        <v>1.2</v>
      </c>
      <c r="N28" s="69">
        <f>K28*L28*M28</f>
        <v>0</v>
      </c>
      <c r="O28" s="69">
        <f>N28/1.805</f>
        <v>0</v>
      </c>
    </row>
  </sheetData>
  <mergeCells count="6">
    <mergeCell ref="L3:L4"/>
    <mergeCell ref="J9:J10"/>
    <mergeCell ref="J15:J16"/>
    <mergeCell ref="K3:K4"/>
    <mergeCell ref="K21:K22"/>
    <mergeCell ref="L21:L22"/>
  </mergeCells>
  <phoneticPr fontId="8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P7"/>
  <sheetViews>
    <sheetView workbookViewId="0">
      <selection activeCell="J1" sqref="J1"/>
    </sheetView>
  </sheetViews>
  <sheetFormatPr defaultRowHeight="15" x14ac:dyDescent="0.25"/>
  <cols>
    <col min="8" max="8" width="17.5703125" customWidth="1"/>
    <col min="9" max="9" width="18.28515625" customWidth="1"/>
    <col min="10" max="10" width="13.7109375" customWidth="1"/>
    <col min="11" max="11" width="13.140625" customWidth="1"/>
    <col min="12" max="12" width="17.7109375" bestFit="1" customWidth="1"/>
    <col min="13" max="13" width="13.42578125" customWidth="1"/>
    <col min="14" max="14" width="14.5703125" customWidth="1"/>
    <col min="15" max="15" width="17.85546875" bestFit="1" customWidth="1"/>
    <col min="16" max="16" width="16.140625" customWidth="1"/>
  </cols>
  <sheetData>
    <row r="1" spans="8:16" ht="28.5" x14ac:dyDescent="0.45">
      <c r="J1" s="56" t="s">
        <v>88</v>
      </c>
      <c r="K1" s="56"/>
    </row>
    <row r="2" spans="8:16" ht="15.75" thickBot="1" x14ac:dyDescent="0.3"/>
    <row r="3" spans="8:16" ht="93.75" thickBot="1" x14ac:dyDescent="0.3">
      <c r="H3" s="57" t="s">
        <v>62</v>
      </c>
      <c r="I3" s="57" t="s">
        <v>79</v>
      </c>
      <c r="J3" s="57" t="s">
        <v>80</v>
      </c>
      <c r="K3" s="57" t="s">
        <v>81</v>
      </c>
      <c r="L3" s="57" t="s">
        <v>82</v>
      </c>
      <c r="M3" s="57" t="s">
        <v>83</v>
      </c>
      <c r="N3" s="57" t="s">
        <v>84</v>
      </c>
      <c r="O3" s="57" t="s">
        <v>85</v>
      </c>
      <c r="P3" s="57" t="s">
        <v>86</v>
      </c>
    </row>
    <row r="4" spans="8:16" ht="24" thickBot="1" x14ac:dyDescent="0.3">
      <c r="H4" s="57" t="s">
        <v>77</v>
      </c>
      <c r="I4" s="57">
        <v>9.2770499999999991</v>
      </c>
      <c r="J4" s="82">
        <v>35.86</v>
      </c>
      <c r="K4" s="85">
        <f>'Chemicals Qty'!Q5</f>
        <v>0</v>
      </c>
      <c r="L4" s="85"/>
      <c r="M4" s="83">
        <f>K4*L4</f>
        <v>0</v>
      </c>
      <c r="N4" s="83">
        <f>M4/I4</f>
        <v>0</v>
      </c>
      <c r="O4" s="84">
        <f>N4*J4</f>
        <v>0</v>
      </c>
      <c r="P4" s="84" t="e">
        <f>O4/L4</f>
        <v>#DIV/0!</v>
      </c>
    </row>
    <row r="6" spans="8:16" x14ac:dyDescent="0.25">
      <c r="H6" s="81" t="s">
        <v>87</v>
      </c>
    </row>
    <row r="7" spans="8:16" x14ac:dyDescent="0.25">
      <c r="H7" s="80" t="s">
        <v>78</v>
      </c>
    </row>
  </sheetData>
  <hyperlinks>
    <hyperlink ref="H7" r:id="rId1" xr:uid="{7B7B2DEA-8556-4F7D-8199-2E4DF4861ACA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D59C-D026-49E9-88F0-798EE47A84AD}">
  <dimension ref="A1:F26"/>
  <sheetViews>
    <sheetView workbookViewId="0">
      <selection activeCell="B6" sqref="B6"/>
    </sheetView>
  </sheetViews>
  <sheetFormatPr defaultRowHeight="15" x14ac:dyDescent="0.25"/>
  <cols>
    <col min="1" max="1" width="28.28515625" customWidth="1"/>
    <col min="2" max="2" width="72.7109375" customWidth="1"/>
    <col min="3" max="3" width="11.42578125" customWidth="1"/>
    <col min="4" max="4" width="19.5703125" customWidth="1"/>
    <col min="5" max="5" width="12.42578125" bestFit="1" customWidth="1"/>
    <col min="6" max="6" width="10" bestFit="1" customWidth="1"/>
  </cols>
  <sheetData>
    <row r="1" spans="1:6" ht="15.75" thickBot="1" x14ac:dyDescent="0.3">
      <c r="D1" s="79"/>
    </row>
    <row r="2" spans="1:6" ht="20.25" thickBot="1" x14ac:dyDescent="0.35">
      <c r="A2" s="78"/>
      <c r="B2" s="77" t="s">
        <v>67</v>
      </c>
      <c r="C2" s="76"/>
      <c r="D2" s="76"/>
      <c r="E2" s="76"/>
      <c r="F2" s="76"/>
    </row>
    <row r="3" spans="1:6" ht="26.25" thickBot="1" x14ac:dyDescent="0.3">
      <c r="A3" s="75" t="s">
        <v>66</v>
      </c>
      <c r="B3" s="75" t="s">
        <v>65</v>
      </c>
      <c r="C3" s="75" t="s">
        <v>71</v>
      </c>
      <c r="D3" s="75" t="s">
        <v>64</v>
      </c>
      <c r="E3" s="75" t="s">
        <v>63</v>
      </c>
    </row>
    <row r="4" spans="1:6" x14ac:dyDescent="0.25">
      <c r="A4" s="74" t="s">
        <v>69</v>
      </c>
      <c r="B4" s="73" t="s">
        <v>70</v>
      </c>
      <c r="C4" s="72" t="s">
        <v>72</v>
      </c>
      <c r="D4" s="71" t="s">
        <v>74</v>
      </c>
      <c r="E4" s="70">
        <v>45435</v>
      </c>
    </row>
    <row r="5" spans="1:6" x14ac:dyDescent="0.25">
      <c r="A5" s="74" t="s">
        <v>68</v>
      </c>
      <c r="B5" s="73" t="s">
        <v>75</v>
      </c>
      <c r="C5" s="72" t="s">
        <v>73</v>
      </c>
      <c r="D5" s="71" t="s">
        <v>74</v>
      </c>
      <c r="E5" s="70">
        <v>45504</v>
      </c>
    </row>
    <row r="6" spans="1:6" x14ac:dyDescent="0.25">
      <c r="A6" s="74"/>
      <c r="B6" s="73"/>
      <c r="C6" s="72"/>
      <c r="D6" s="71"/>
      <c r="E6" s="70"/>
    </row>
    <row r="7" spans="1:6" x14ac:dyDescent="0.25">
      <c r="A7" s="74"/>
      <c r="B7" s="73"/>
      <c r="C7" s="72"/>
      <c r="D7" s="71"/>
      <c r="E7" s="70"/>
    </row>
    <row r="8" spans="1:6" x14ac:dyDescent="0.25">
      <c r="A8" s="74"/>
      <c r="B8" s="73"/>
      <c r="C8" s="72"/>
      <c r="D8" s="71"/>
      <c r="E8" s="70"/>
    </row>
    <row r="9" spans="1:6" x14ac:dyDescent="0.25">
      <c r="A9" s="74"/>
      <c r="B9" s="73"/>
      <c r="C9" s="72"/>
      <c r="D9" s="71"/>
      <c r="E9" s="70"/>
    </row>
    <row r="10" spans="1:6" x14ac:dyDescent="0.25">
      <c r="A10" s="74"/>
      <c r="B10" s="73"/>
      <c r="C10" s="72"/>
      <c r="D10" s="71"/>
      <c r="E10" s="70"/>
    </row>
    <row r="11" spans="1:6" x14ac:dyDescent="0.25">
      <c r="A11" s="74"/>
      <c r="B11" s="73"/>
      <c r="C11" s="72"/>
      <c r="D11" s="71"/>
      <c r="E11" s="70"/>
    </row>
    <row r="12" spans="1:6" x14ac:dyDescent="0.25">
      <c r="A12" s="74"/>
      <c r="B12" s="73"/>
      <c r="C12" s="72"/>
      <c r="D12" s="71"/>
      <c r="E12" s="70"/>
    </row>
    <row r="13" spans="1:6" x14ac:dyDescent="0.25">
      <c r="A13" s="74"/>
      <c r="B13" s="73"/>
      <c r="C13" s="72"/>
      <c r="D13" s="71"/>
      <c r="E13" s="70"/>
    </row>
    <row r="14" spans="1:6" x14ac:dyDescent="0.25">
      <c r="A14" s="74"/>
      <c r="B14" s="73"/>
      <c r="C14" s="72"/>
      <c r="D14" s="71"/>
      <c r="E14" s="70"/>
    </row>
    <row r="15" spans="1:6" x14ac:dyDescent="0.25">
      <c r="A15" s="74"/>
      <c r="B15" s="73"/>
      <c r="C15" s="72"/>
      <c r="D15" s="71"/>
      <c r="E15" s="70"/>
    </row>
    <row r="16" spans="1:6" x14ac:dyDescent="0.25">
      <c r="A16" s="74"/>
      <c r="B16" s="73"/>
      <c r="C16" s="72"/>
      <c r="D16" s="71"/>
      <c r="E16" s="70"/>
    </row>
    <row r="17" spans="1:5" x14ac:dyDescent="0.25">
      <c r="A17" s="74"/>
      <c r="B17" s="73"/>
      <c r="C17" s="72"/>
      <c r="D17" s="71"/>
      <c r="E17" s="70"/>
    </row>
    <row r="18" spans="1:5" x14ac:dyDescent="0.25">
      <c r="A18" s="74"/>
      <c r="B18" s="73"/>
      <c r="C18" s="72"/>
      <c r="D18" s="71"/>
      <c r="E18" s="70"/>
    </row>
    <row r="19" spans="1:5" x14ac:dyDescent="0.25">
      <c r="A19" s="74"/>
      <c r="B19" s="73"/>
      <c r="C19" s="72"/>
      <c r="D19" s="71"/>
      <c r="E19" s="70"/>
    </row>
    <row r="20" spans="1:5" x14ac:dyDescent="0.25">
      <c r="A20" s="74"/>
      <c r="B20" s="73"/>
      <c r="C20" s="72"/>
      <c r="D20" s="71"/>
      <c r="E20" s="70"/>
    </row>
    <row r="21" spans="1:5" x14ac:dyDescent="0.25">
      <c r="A21" s="74"/>
      <c r="B21" s="73"/>
      <c r="C21" s="72"/>
      <c r="D21" s="71"/>
      <c r="E21" s="70"/>
    </row>
    <row r="22" spans="1:5" x14ac:dyDescent="0.25">
      <c r="A22" s="74"/>
      <c r="B22" s="73"/>
      <c r="C22" s="72"/>
      <c r="D22" s="71"/>
      <c r="E22" s="70"/>
    </row>
    <row r="23" spans="1:5" x14ac:dyDescent="0.25">
      <c r="A23" s="74"/>
      <c r="B23" s="73"/>
      <c r="C23" s="72"/>
      <c r="D23" s="71"/>
      <c r="E23" s="70"/>
    </row>
    <row r="24" spans="1:5" x14ac:dyDescent="0.25">
      <c r="A24" s="74"/>
      <c r="B24" s="73"/>
      <c r="C24" s="72"/>
      <c r="D24" s="71"/>
      <c r="E24" s="70"/>
    </row>
    <row r="25" spans="1:5" x14ac:dyDescent="0.25">
      <c r="A25" s="74"/>
      <c r="B25" s="73"/>
      <c r="C25" s="72"/>
      <c r="D25" s="71"/>
      <c r="E25" s="70"/>
    </row>
    <row r="26" spans="1:5" x14ac:dyDescent="0.25">
      <c r="A26" s="74"/>
      <c r="B26" s="73"/>
      <c r="C26" s="72"/>
      <c r="D26" s="71"/>
      <c r="E26" s="70"/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7168484D774B9D4448BF01E5211D" ma:contentTypeVersion="3" ma:contentTypeDescription="Create a new document." ma:contentTypeScope="" ma:versionID="d571714a83eb21c0e260e03828090b41">
  <xsd:schema xmlns:xsd="http://www.w3.org/2001/XMLSchema" xmlns:xs="http://www.w3.org/2001/XMLSchema" xmlns:p="http://schemas.microsoft.com/office/2006/metadata/properties" xmlns:ns2="4f144fc1-59e6-4af3-87ab-fcf77bfa264d" targetNamespace="http://schemas.microsoft.com/office/2006/metadata/properties" ma:root="true" ma:fieldsID="2afb4accef57e4c3d0c15155faf60eaa" ns2:_="">
    <xsd:import namespace="4f144fc1-59e6-4af3-87ab-fcf77bfa2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44fc1-59e6-4af3-87ab-fcf77bfa2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B1F2B-FEBC-484F-BB90-1A3DE21D8525}"/>
</file>

<file path=customXml/itemProps2.xml><?xml version="1.0" encoding="utf-8"?>
<ds:datastoreItem xmlns:ds="http://schemas.openxmlformats.org/officeDocument/2006/customXml" ds:itemID="{5C4E96EA-6534-4B4A-9E8D-A0FEB0B97206}"/>
</file>

<file path=customXml/itemProps3.xml><?xml version="1.0" encoding="utf-8"?>
<ds:datastoreItem xmlns:ds="http://schemas.openxmlformats.org/officeDocument/2006/customXml" ds:itemID="{04E0A671-29A4-4588-B782-4786DF987C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Fine Pitch, QFP, QFN, or BGA  </vt:lpstr>
      <vt:lpstr>Chemicals Qty</vt:lpstr>
      <vt:lpstr>Chemicals pricing</vt:lpstr>
      <vt:lpstr>Rev 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Catherine Arnold</cp:lastModifiedBy>
  <cp:lastPrinted>2015-06-09T16:50:53Z</cp:lastPrinted>
  <dcterms:created xsi:type="dcterms:W3CDTF">2014-02-28T14:28:37Z</dcterms:created>
  <dcterms:modified xsi:type="dcterms:W3CDTF">2025-04-16T12:54:36Z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0x01010057277168484D774B9D4448BF01E5211D</vt:lpwstr>
  </property>
</Properties>
</file>