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namedSheetViews/namedSheetView2.xml" ContentType="application/vnd.ms-excel.namedsheetview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MaxJohnson\Documents\Khash Files\"/>
    </mc:Choice>
  </mc:AlternateContent>
  <xr:revisionPtr revIDLastSave="0" documentId="8_{2BD139D7-344C-4EFF-8845-ABDB2D6E66B4}" xr6:coauthVersionLast="47" xr6:coauthVersionMax="47" xr10:uidLastSave="{00000000-0000-0000-0000-000000000000}"/>
  <bookViews>
    <workbookView xWindow="-120" yWindow="-120" windowWidth="29040" windowHeight="15720" xr2:uid="{00000000-000D-0000-FFFF-FFFF00000000}"/>
  </bookViews>
  <sheets>
    <sheet name="Quote Log" sheetId="2" r:id="rId1"/>
    <sheet name="Checklist" sheetId="12" r:id="rId2"/>
    <sheet name="old-PQSI" sheetId="4" state="hidden" r:id="rId3"/>
    <sheet name="Tax Exempt" sheetId="5" r:id="rId4"/>
    <sheet name="KPIs (Month)" sheetId="10" r:id="rId5"/>
    <sheet name="KPIs (Week)" sheetId="11" r:id="rId6"/>
    <sheet name="Quote Instruction" sheetId="6" r:id="rId7"/>
    <sheet name="Sheet1" sheetId="7" r:id="rId8"/>
    <sheet name="Notes" sheetId="3" r:id="rId9"/>
    <sheet name="Table" sheetId="8" r:id="rId10"/>
  </sheets>
  <definedNames>
    <definedName name="_xlnm._FilterDatabase" localSheetId="2" hidden="1">'old-PQSI'!$A$2:$X$628</definedName>
    <definedName name="_xlnm._FilterDatabase" localSheetId="0" hidden="1">'Quote Log'!$A$2:$AP$188</definedName>
    <definedName name="_xlnm._FilterDatabase" localSheetId="3" hidden="1">'Tax Exempt'!$A$1:$C$128</definedName>
    <definedName name="_xlnm.Print_Area" localSheetId="0">'Quote Log'!$C$2:$Z$3</definedName>
    <definedName name="TAX" localSheetId="6">#REF!</definedName>
    <definedName name="TAX">'Tax Exempt'!$A$1:$B$2182</definedName>
    <definedName name="Z_18176D88_DE0C_4F4B_AE8A_05A303D55849_.wvu.FilterData" localSheetId="0" hidden="1">'Quote Log'!$A$2:$AJ$2</definedName>
    <definedName name="Z_2EE6C233_76BA_487D_84CF_B1D2031D7726_.wvu.FilterData" localSheetId="0" hidden="1">'Quote Log'!$A$2:$AJ$2</definedName>
  </definedNames>
  <calcPr calcId="191028"/>
  <customWorkbookViews>
    <customWorkbookView name="Tony Streletsky - Personal View" guid="{2EE6C233-76BA-487D-84CF-B1D2031D7726}" mergeInterval="0" personalView="1" xWindow="1280" windowWidth="1280" windowHeight="1400" activeSheetId="2"/>
    <customWorkbookView name="Molly Troutman - Personal View" guid="{18176D88-DE0C-4F4B-AE8A-05A303D55849}" mergeInterval="0" personalView="1" maximized="1" xWindow="-8" yWindow="-8" windowWidth="1936" windowHeight="1056"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7" i="2" l="1"/>
  <c r="AB37" i="2"/>
  <c r="AP36" i="2"/>
  <c r="AB36" i="2"/>
  <c r="AP35" i="2"/>
  <c r="AB35" i="2"/>
  <c r="M35" i="2"/>
  <c r="AP34" i="2"/>
  <c r="AB34" i="2"/>
  <c r="M34" i="2"/>
  <c r="AP33" i="2"/>
  <c r="AB33" i="2"/>
  <c r="M33" i="2"/>
  <c r="AP106" i="2"/>
  <c r="AB106" i="2"/>
  <c r="M106" i="2"/>
  <c r="AP105" i="2"/>
  <c r="AB105" i="2"/>
  <c r="M105" i="2"/>
  <c r="AP104" i="2"/>
  <c r="AB104" i="2"/>
  <c r="M104" i="2"/>
  <c r="AP103" i="2"/>
  <c r="AB103" i="2"/>
  <c r="M103" i="2"/>
  <c r="AP102" i="2"/>
  <c r="AB102" i="2"/>
  <c r="M102" i="2"/>
  <c r="AP101" i="2"/>
  <c r="AB101" i="2"/>
  <c r="M101" i="2"/>
  <c r="AP100" i="2"/>
  <c r="AB100" i="2"/>
  <c r="M100" i="2"/>
  <c r="AP99" i="2"/>
  <c r="AB99" i="2"/>
  <c r="M99" i="2"/>
  <c r="AP98" i="2"/>
  <c r="AB98" i="2"/>
  <c r="M98" i="2"/>
  <c r="AP97" i="2"/>
  <c r="AB97" i="2"/>
  <c r="M97" i="2"/>
  <c r="AP96" i="2"/>
  <c r="AB96" i="2"/>
  <c r="M96" i="2"/>
  <c r="AP95" i="2"/>
  <c r="AB95" i="2"/>
  <c r="M95" i="2"/>
  <c r="AP94" i="2"/>
  <c r="AB94" i="2"/>
  <c r="M94" i="2"/>
  <c r="AP93" i="2"/>
  <c r="AB93" i="2"/>
  <c r="M93" i="2"/>
  <c r="AP92" i="2"/>
  <c r="AB92" i="2"/>
  <c r="M92" i="2"/>
  <c r="AP91" i="2"/>
  <c r="AB91" i="2"/>
  <c r="M91" i="2"/>
  <c r="AP90" i="2"/>
  <c r="AB90" i="2"/>
  <c r="M90" i="2"/>
  <c r="AP89" i="2"/>
  <c r="AB89" i="2"/>
  <c r="M89" i="2"/>
  <c r="AP88" i="2"/>
  <c r="AB88" i="2"/>
  <c r="M88" i="2"/>
  <c r="AP87" i="2"/>
  <c r="AB87" i="2"/>
  <c r="M87" i="2"/>
  <c r="AP86" i="2"/>
  <c r="AB86" i="2"/>
  <c r="M86" i="2"/>
  <c r="AP85" i="2"/>
  <c r="AB85" i="2"/>
  <c r="M85" i="2"/>
  <c r="AP84" i="2"/>
  <c r="AB84" i="2"/>
  <c r="M84" i="2"/>
  <c r="AP83" i="2"/>
  <c r="AB83" i="2"/>
  <c r="M83" i="2"/>
  <c r="AP82" i="2"/>
  <c r="AB82" i="2"/>
  <c r="M82" i="2"/>
  <c r="AP81" i="2"/>
  <c r="AB81" i="2"/>
  <c r="M81" i="2"/>
  <c r="AP80" i="2"/>
  <c r="AB80" i="2"/>
  <c r="M80" i="2"/>
  <c r="AP79" i="2"/>
  <c r="AB79" i="2"/>
  <c r="M79" i="2"/>
  <c r="AP78" i="2"/>
  <c r="AB78" i="2"/>
  <c r="M78" i="2"/>
  <c r="AP77" i="2"/>
  <c r="AB77" i="2"/>
  <c r="M77" i="2"/>
  <c r="AP76" i="2"/>
  <c r="AB76" i="2"/>
  <c r="M76" i="2"/>
  <c r="AP75" i="2"/>
  <c r="AB75" i="2"/>
  <c r="M75" i="2"/>
  <c r="AP74" i="2"/>
  <c r="AB74" i="2"/>
  <c r="M74" i="2"/>
  <c r="AP73" i="2"/>
  <c r="AB73" i="2"/>
  <c r="M73" i="2"/>
  <c r="AP72" i="2"/>
  <c r="AB72" i="2"/>
  <c r="M72" i="2"/>
  <c r="AP71" i="2"/>
  <c r="AB71" i="2"/>
  <c r="M71" i="2"/>
  <c r="AP70" i="2"/>
  <c r="AB70" i="2"/>
  <c r="M70" i="2"/>
  <c r="AP69" i="2"/>
  <c r="AB69" i="2"/>
  <c r="M69" i="2"/>
  <c r="AP68" i="2"/>
  <c r="AB68" i="2"/>
  <c r="M68" i="2"/>
  <c r="AP67" i="2"/>
  <c r="AB67" i="2"/>
  <c r="M67" i="2"/>
  <c r="AP66" i="2"/>
  <c r="AB66" i="2"/>
  <c r="M66" i="2"/>
  <c r="AP65" i="2"/>
  <c r="AB65" i="2"/>
  <c r="M65" i="2"/>
  <c r="AP64" i="2"/>
  <c r="AB64" i="2"/>
  <c r="M64" i="2"/>
  <c r="AP63" i="2"/>
  <c r="AB63" i="2"/>
  <c r="M63" i="2"/>
  <c r="AP62" i="2"/>
  <c r="AB62" i="2"/>
  <c r="M62" i="2"/>
  <c r="AP61" i="2"/>
  <c r="AB61" i="2"/>
  <c r="M61" i="2"/>
  <c r="AP60" i="2"/>
  <c r="AB60" i="2"/>
  <c r="M60" i="2"/>
  <c r="AP59" i="2"/>
  <c r="AB59" i="2"/>
  <c r="M59" i="2"/>
  <c r="AP58" i="2"/>
  <c r="AB58" i="2"/>
  <c r="M58" i="2"/>
  <c r="AP57" i="2"/>
  <c r="AB57" i="2"/>
  <c r="M57" i="2"/>
  <c r="AP56" i="2"/>
  <c r="AB56" i="2"/>
  <c r="M56" i="2"/>
  <c r="AP55" i="2"/>
  <c r="AB55" i="2"/>
  <c r="M55" i="2"/>
  <c r="AP54" i="2"/>
  <c r="AB54" i="2"/>
  <c r="M54" i="2"/>
  <c r="AP53" i="2"/>
  <c r="AB53" i="2"/>
  <c r="M53" i="2"/>
  <c r="AP52" i="2"/>
  <c r="AB52" i="2"/>
  <c r="M52" i="2"/>
  <c r="AP51" i="2"/>
  <c r="AB51" i="2"/>
  <c r="M51" i="2"/>
  <c r="AP50" i="2"/>
  <c r="AB50" i="2"/>
  <c r="M50" i="2"/>
  <c r="AP49" i="2"/>
  <c r="AB49" i="2"/>
  <c r="M49" i="2"/>
  <c r="AP48" i="2"/>
  <c r="AB48" i="2"/>
  <c r="M48" i="2"/>
  <c r="AP47" i="2"/>
  <c r="AB47" i="2"/>
  <c r="M47" i="2"/>
  <c r="AP46" i="2"/>
  <c r="AB46" i="2"/>
  <c r="M46" i="2"/>
  <c r="AP45" i="2"/>
  <c r="AB45" i="2"/>
  <c r="M45" i="2"/>
  <c r="AP44" i="2"/>
  <c r="AB44" i="2"/>
  <c r="M44" i="2"/>
  <c r="AP43" i="2"/>
  <c r="AB43" i="2"/>
  <c r="M43" i="2"/>
  <c r="AP42" i="2"/>
  <c r="AB42" i="2"/>
  <c r="M42" i="2"/>
  <c r="AP41" i="2"/>
  <c r="AB41" i="2"/>
  <c r="M41" i="2"/>
  <c r="AP40" i="2"/>
  <c r="AB40" i="2"/>
  <c r="M40" i="2"/>
  <c r="AP39" i="2"/>
  <c r="AB39" i="2"/>
  <c r="M39" i="2"/>
  <c r="AP38" i="2"/>
  <c r="AB38" i="2"/>
  <c r="M38" i="2"/>
  <c r="AP144" i="2"/>
  <c r="AB144" i="2"/>
  <c r="M144" i="2"/>
  <c r="AP143" i="2"/>
  <c r="AB143" i="2"/>
  <c r="M143" i="2"/>
  <c r="AP142" i="2"/>
  <c r="AB142" i="2"/>
  <c r="M142" i="2"/>
  <c r="AP141" i="2"/>
  <c r="AB141" i="2"/>
  <c r="M141" i="2"/>
  <c r="AP140" i="2"/>
  <c r="AB140" i="2"/>
  <c r="M140" i="2"/>
  <c r="AP139" i="2"/>
  <c r="AB139" i="2"/>
  <c r="M139" i="2"/>
  <c r="AP138" i="2"/>
  <c r="AB138" i="2"/>
  <c r="M138" i="2"/>
  <c r="AP137" i="2"/>
  <c r="AB137" i="2"/>
  <c r="M137" i="2"/>
  <c r="AP136" i="2"/>
  <c r="AB136" i="2"/>
  <c r="M136" i="2"/>
  <c r="AP135" i="2"/>
  <c r="AB135" i="2"/>
  <c r="M135" i="2"/>
  <c r="AP134" i="2"/>
  <c r="AB134" i="2"/>
  <c r="M134" i="2"/>
  <c r="AP133" i="2"/>
  <c r="AB133" i="2"/>
  <c r="M133" i="2"/>
  <c r="AP132" i="2"/>
  <c r="AB132" i="2"/>
  <c r="M132" i="2"/>
  <c r="AP131" i="2"/>
  <c r="AB131" i="2"/>
  <c r="M131" i="2"/>
  <c r="AP130" i="2"/>
  <c r="AB130" i="2"/>
  <c r="M130" i="2"/>
  <c r="AP129" i="2"/>
  <c r="AB129" i="2"/>
  <c r="M129" i="2"/>
  <c r="AP128" i="2"/>
  <c r="AB128" i="2"/>
  <c r="M128" i="2"/>
  <c r="AP127" i="2"/>
  <c r="AB127" i="2"/>
  <c r="M127" i="2"/>
  <c r="AP126" i="2"/>
  <c r="AB126" i="2"/>
  <c r="M126" i="2"/>
  <c r="AP125" i="2"/>
  <c r="AB125" i="2"/>
  <c r="M125" i="2"/>
  <c r="AP124" i="2"/>
  <c r="AB124" i="2"/>
  <c r="M124" i="2"/>
  <c r="AP123" i="2"/>
  <c r="AB123" i="2"/>
  <c r="M123" i="2"/>
  <c r="AP122" i="2"/>
  <c r="AB122" i="2"/>
  <c r="M122" i="2"/>
  <c r="AP121" i="2"/>
  <c r="AB121" i="2"/>
  <c r="M121" i="2"/>
  <c r="AP120" i="2"/>
  <c r="AB120" i="2"/>
  <c r="M120" i="2"/>
  <c r="AP119" i="2"/>
  <c r="AB119" i="2"/>
  <c r="M119" i="2"/>
  <c r="AP118" i="2"/>
  <c r="AB118" i="2"/>
  <c r="M118" i="2"/>
  <c r="AP117" i="2"/>
  <c r="AB117" i="2"/>
  <c r="M117" i="2"/>
  <c r="AP116" i="2"/>
  <c r="AB116" i="2"/>
  <c r="M116" i="2"/>
  <c r="AP115" i="2"/>
  <c r="AB115" i="2"/>
  <c r="M115" i="2"/>
  <c r="AP114" i="2"/>
  <c r="AB114" i="2"/>
  <c r="M114" i="2"/>
  <c r="AP113" i="2"/>
  <c r="AB113" i="2"/>
  <c r="M113" i="2"/>
  <c r="AP112" i="2"/>
  <c r="AB112" i="2"/>
  <c r="M112" i="2"/>
  <c r="AP111" i="2"/>
  <c r="AB111" i="2"/>
  <c r="M111" i="2"/>
  <c r="AP110" i="2"/>
  <c r="AB110" i="2"/>
  <c r="M110" i="2"/>
  <c r="AP109" i="2"/>
  <c r="AB109" i="2"/>
  <c r="M109" i="2"/>
  <c r="AP108" i="2"/>
  <c r="AB108" i="2"/>
  <c r="M108" i="2"/>
  <c r="AP107" i="2"/>
  <c r="AB107" i="2"/>
  <c r="M107" i="2"/>
  <c r="AP163" i="2"/>
  <c r="AB163" i="2"/>
  <c r="M163" i="2"/>
  <c r="AP162" i="2"/>
  <c r="AB162" i="2"/>
  <c r="M162" i="2"/>
  <c r="AP161" i="2"/>
  <c r="AB161" i="2"/>
  <c r="M161" i="2"/>
  <c r="AP160" i="2"/>
  <c r="AB160" i="2"/>
  <c r="M160" i="2"/>
  <c r="AP159" i="2"/>
  <c r="AB159" i="2"/>
  <c r="M159" i="2"/>
  <c r="AP158" i="2"/>
  <c r="AB158" i="2"/>
  <c r="M158" i="2"/>
  <c r="AP157" i="2"/>
  <c r="AB157" i="2"/>
  <c r="M157" i="2"/>
  <c r="AP156" i="2"/>
  <c r="AB156" i="2"/>
  <c r="M156" i="2"/>
  <c r="AP155" i="2"/>
  <c r="AB155" i="2"/>
  <c r="M155" i="2"/>
  <c r="AP154" i="2"/>
  <c r="AB154" i="2"/>
  <c r="M154" i="2"/>
  <c r="AP153" i="2"/>
  <c r="AB153" i="2"/>
  <c r="M153" i="2"/>
  <c r="AP152" i="2"/>
  <c r="AB152" i="2"/>
  <c r="M152" i="2"/>
  <c r="AP151" i="2"/>
  <c r="AB151" i="2"/>
  <c r="M151" i="2"/>
  <c r="AP150" i="2"/>
  <c r="AB150" i="2"/>
  <c r="M150" i="2"/>
  <c r="AP149" i="2"/>
  <c r="AB149" i="2"/>
  <c r="M149" i="2"/>
  <c r="AP148" i="2"/>
  <c r="AB148" i="2"/>
  <c r="M148" i="2"/>
  <c r="AP147" i="2"/>
  <c r="AB147" i="2"/>
  <c r="M147" i="2"/>
  <c r="AP146" i="2"/>
  <c r="AB146" i="2"/>
  <c r="M146" i="2"/>
  <c r="AP145" i="2"/>
  <c r="AB145" i="2"/>
  <c r="M145" i="2"/>
  <c r="AP32" i="2"/>
  <c r="AB32" i="2"/>
  <c r="M32" i="2"/>
  <c r="AP31" i="2"/>
  <c r="AB31" i="2"/>
  <c r="M31" i="2"/>
  <c r="AP30" i="2"/>
  <c r="AB30" i="2"/>
  <c r="M30" i="2"/>
  <c r="AP28" i="2" l="1"/>
  <c r="AB28" i="2"/>
  <c r="M28" i="2"/>
  <c r="AP27" i="2" l="1"/>
  <c r="AB27" i="2"/>
  <c r="M27" i="2"/>
  <c r="X2" i="10"/>
  <c r="X38" i="10"/>
  <c r="AP26" i="2"/>
  <c r="AB26" i="2"/>
  <c r="M26" i="2"/>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9" i="10"/>
  <c r="X40" i="10"/>
  <c r="X41" i="10"/>
  <c r="X42" i="10"/>
  <c r="X43" i="10"/>
  <c r="X44" i="10"/>
  <c r="X45" i="10"/>
  <c r="X46" i="10"/>
  <c r="X47" i="10"/>
  <c r="X48" i="10"/>
  <c r="X49" i="10"/>
  <c r="X50" i="10"/>
  <c r="X51" i="10"/>
  <c r="X52" i="10"/>
  <c r="X53" i="10"/>
  <c r="X54" i="10"/>
  <c r="E235" i="11" l="1"/>
  <c r="F235" i="11" s="1"/>
  <c r="G235" i="11"/>
  <c r="H235" i="11" s="1"/>
  <c r="K235" i="11"/>
  <c r="L235" i="11"/>
  <c r="C235" i="11"/>
  <c r="E234" i="11"/>
  <c r="F234" i="11" s="1"/>
  <c r="G234" i="11"/>
  <c r="H234" i="11" s="1"/>
  <c r="K234" i="11"/>
  <c r="L234" i="11"/>
  <c r="C234" i="11"/>
  <c r="D234" i="11" s="1"/>
  <c r="E233" i="11"/>
  <c r="F233" i="11" s="1"/>
  <c r="G233" i="11"/>
  <c r="H233" i="11" s="1"/>
  <c r="K233" i="11"/>
  <c r="L233" i="11"/>
  <c r="C233" i="11"/>
  <c r="D233" i="11" s="1"/>
  <c r="E232" i="11"/>
  <c r="G232" i="11"/>
  <c r="K232" i="11"/>
  <c r="L232" i="11"/>
  <c r="C232" i="11"/>
  <c r="I235" i="11" l="1"/>
  <c r="J235" i="11" s="1"/>
  <c r="M235" i="11"/>
  <c r="N235" i="11" s="1"/>
  <c r="D235" i="11"/>
  <c r="M234" i="11"/>
  <c r="N234" i="11" s="1"/>
  <c r="I234" i="11"/>
  <c r="J234" i="11" s="1"/>
  <c r="I233" i="11"/>
  <c r="J233" i="11" s="1"/>
  <c r="M233" i="11"/>
  <c r="N233" i="11" s="1"/>
  <c r="AP25" i="2" l="1"/>
  <c r="AB25" i="2"/>
  <c r="M25" i="2"/>
  <c r="AP24" i="2"/>
  <c r="AB24" i="2"/>
  <c r="M24" i="2"/>
  <c r="D232" i="11"/>
  <c r="F232" i="11"/>
  <c r="H232" i="11"/>
  <c r="D54" i="10"/>
  <c r="E54" i="10" s="1"/>
  <c r="G54" i="10"/>
  <c r="F54" i="10" s="1"/>
  <c r="K54" i="10"/>
  <c r="L54" i="10"/>
  <c r="W54" i="10"/>
  <c r="Y54" i="10"/>
  <c r="AB54" i="10"/>
  <c r="AC54" i="10"/>
  <c r="AD54" i="10"/>
  <c r="Z54" i="10"/>
  <c r="AF54" i="10"/>
  <c r="AG54" i="10" s="1"/>
  <c r="AJ54" i="10"/>
  <c r="B54" i="10"/>
  <c r="C54" i="10" s="1"/>
  <c r="AP23" i="2"/>
  <c r="M23" i="2"/>
  <c r="AP22" i="2"/>
  <c r="AB22" i="2"/>
  <c r="M22" i="2"/>
  <c r="AE54" i="10" l="1"/>
  <c r="AA54" i="10"/>
  <c r="I232" i="11"/>
  <c r="J232" i="11" s="1"/>
  <c r="M232" i="11"/>
  <c r="N232" i="11" s="1"/>
  <c r="M54" i="10"/>
  <c r="N54" i="10" s="1"/>
  <c r="J54" i="10"/>
  <c r="I54" i="10"/>
  <c r="H54" i="10"/>
  <c r="AP20" i="2"/>
  <c r="AB20" i="2"/>
  <c r="M20" i="2"/>
  <c r="M18" i="2" l="1"/>
  <c r="AB18" i="2"/>
  <c r="AP18" i="2"/>
  <c r="M19" i="2"/>
  <c r="AB19" i="2"/>
  <c r="AP19" i="2"/>
  <c r="M16" i="2"/>
  <c r="AB16" i="2"/>
  <c r="AP16" i="2"/>
  <c r="M17" i="2"/>
  <c r="AB17" i="2"/>
  <c r="AP17" i="2"/>
  <c r="AP14" i="2" l="1"/>
  <c r="AB14" i="2"/>
  <c r="M14" i="2"/>
  <c r="M10" i="2" l="1"/>
  <c r="AB10" i="2"/>
  <c r="AP10" i="2"/>
  <c r="M11" i="2"/>
  <c r="AB11" i="2"/>
  <c r="AP11" i="2"/>
  <c r="M12" i="2"/>
  <c r="AB12" i="2"/>
  <c r="AP12" i="2"/>
  <c r="M13" i="2"/>
  <c r="AB13" i="2"/>
  <c r="AP13" i="2"/>
  <c r="AP9" i="2" l="1"/>
  <c r="AB9" i="2"/>
  <c r="M9" i="2"/>
  <c r="AP8" i="2" l="1"/>
  <c r="AB8" i="2"/>
  <c r="M8" i="2"/>
  <c r="AP7" i="2"/>
  <c r="AB7" i="2"/>
  <c r="M7" i="2"/>
  <c r="AP21" i="2" l="1"/>
  <c r="AB21" i="2"/>
  <c r="M21" i="2"/>
  <c r="AP15" i="2"/>
  <c r="AB15" i="2"/>
  <c r="M15" i="2"/>
  <c r="AP6" i="2"/>
  <c r="AB6" i="2"/>
  <c r="M6" i="2"/>
  <c r="AP5" i="2"/>
  <c r="AB5" i="2"/>
  <c r="M5" i="2"/>
  <c r="AP4" i="2"/>
  <c r="AB4" i="2"/>
  <c r="M4" i="2"/>
  <c r="O235" i="11" l="1"/>
  <c r="P235" i="11" s="1"/>
  <c r="O234" i="11" l="1"/>
  <c r="P234" i="11" s="1"/>
  <c r="O232" i="11" l="1"/>
  <c r="P232" i="11" l="1"/>
  <c r="H2" i="10" l="1"/>
  <c r="H3" i="10"/>
  <c r="H4" i="10"/>
  <c r="H5" i="10"/>
  <c r="H6" i="10"/>
  <c r="H7" i="10"/>
  <c r="H8" i="10"/>
  <c r="H9" i="10"/>
  <c r="H10" i="10"/>
  <c r="H11" i="10"/>
  <c r="H12" i="10"/>
  <c r="H13" i="10"/>
  <c r="H14" i="10"/>
  <c r="H15" i="10"/>
  <c r="H16" i="10"/>
  <c r="H17" i="10"/>
  <c r="H18" i="10"/>
  <c r="H19" i="10"/>
  <c r="H20" i="10"/>
  <c r="H21" i="10"/>
  <c r="H22" i="10"/>
  <c r="H23" i="10"/>
  <c r="H24" i="10"/>
  <c r="H25" i="10"/>
  <c r="E231" i="11" l="1"/>
  <c r="F231" i="11" s="1"/>
  <c r="G231" i="11"/>
  <c r="H231" i="11" s="1"/>
  <c r="K231" i="11"/>
  <c r="L231" i="11"/>
  <c r="O231" i="11"/>
  <c r="P231" i="11" s="1"/>
  <c r="C231" i="11"/>
  <c r="D231" i="11" s="1"/>
  <c r="E230" i="11"/>
  <c r="F230" i="11" s="1"/>
  <c r="G230" i="11"/>
  <c r="H230" i="11" s="1"/>
  <c r="K230" i="11"/>
  <c r="L230" i="11"/>
  <c r="C230" i="11"/>
  <c r="D230" i="11" s="1"/>
  <c r="E229" i="11"/>
  <c r="F229" i="11" s="1"/>
  <c r="G229" i="11"/>
  <c r="H229" i="11" s="1"/>
  <c r="K229" i="11"/>
  <c r="L229" i="11"/>
  <c r="C229" i="11"/>
  <c r="D229" i="11" s="1"/>
  <c r="E228" i="11"/>
  <c r="F228" i="11" s="1"/>
  <c r="G228" i="11"/>
  <c r="H228" i="11" s="1"/>
  <c r="K228" i="11"/>
  <c r="L228" i="11"/>
  <c r="C228" i="11"/>
  <c r="D228" i="11" s="1"/>
  <c r="D53" i="10"/>
  <c r="E53" i="10" s="1"/>
  <c r="G53" i="10"/>
  <c r="K53" i="10"/>
  <c r="L53" i="10"/>
  <c r="W53" i="10"/>
  <c r="Y53" i="10"/>
  <c r="AB53" i="10"/>
  <c r="AC53" i="10"/>
  <c r="AD53" i="10"/>
  <c r="Z53" i="10"/>
  <c r="AF53" i="10"/>
  <c r="AG53" i="10" s="1"/>
  <c r="AJ53" i="10"/>
  <c r="B53" i="10"/>
  <c r="C53" i="10" s="1"/>
  <c r="AE53" i="10" l="1"/>
  <c r="AA53" i="10"/>
  <c r="F53" i="10"/>
  <c r="J53" i="10" s="1"/>
  <c r="H53" i="10"/>
  <c r="I231" i="11"/>
  <c r="J231" i="11" s="1"/>
  <c r="M231" i="11"/>
  <c r="N231" i="11" s="1"/>
  <c r="I230" i="11"/>
  <c r="J230" i="11" s="1"/>
  <c r="M230" i="11"/>
  <c r="N230" i="11" s="1"/>
  <c r="M229" i="11"/>
  <c r="N229" i="11" s="1"/>
  <c r="I229" i="11"/>
  <c r="J229" i="11" s="1"/>
  <c r="M228" i="11"/>
  <c r="N228" i="11" s="1"/>
  <c r="I228" i="11"/>
  <c r="J228" i="11" s="1"/>
  <c r="M53" i="10"/>
  <c r="N53" i="10" s="1"/>
  <c r="I53" i="10"/>
  <c r="AF52" i="10" l="1"/>
  <c r="Z52" i="10"/>
  <c r="AD52" i="10"/>
  <c r="AC52" i="10"/>
  <c r="AB52" i="10"/>
  <c r="Y52" i="10"/>
  <c r="W52" i="10"/>
  <c r="AF51" i="10"/>
  <c r="Z51" i="10"/>
  <c r="AD51" i="10"/>
  <c r="AC51" i="10"/>
  <c r="AB51" i="10"/>
  <c r="Y51" i="10"/>
  <c r="W51" i="10"/>
  <c r="AF50" i="10"/>
  <c r="Z50" i="10"/>
  <c r="AD50" i="10"/>
  <c r="AC50" i="10"/>
  <c r="AB50" i="10"/>
  <c r="Y50" i="10"/>
  <c r="W50" i="10"/>
  <c r="AF49" i="10"/>
  <c r="Z49" i="10"/>
  <c r="AD49" i="10"/>
  <c r="AC49" i="10"/>
  <c r="AB49" i="10"/>
  <c r="Y49" i="10"/>
  <c r="W49" i="10"/>
  <c r="AF48" i="10"/>
  <c r="Z48" i="10"/>
  <c r="AD48" i="10"/>
  <c r="AC48" i="10"/>
  <c r="AB48" i="10"/>
  <c r="Y48" i="10"/>
  <c r="W48" i="10"/>
  <c r="AF47" i="10"/>
  <c r="Z47" i="10"/>
  <c r="AD47" i="10"/>
  <c r="AC47" i="10"/>
  <c r="AB47" i="10"/>
  <c r="Y47" i="10"/>
  <c r="W47" i="10"/>
  <c r="AH46" i="10"/>
  <c r="AF46" i="10"/>
  <c r="Z46" i="10"/>
  <c r="AD46" i="10"/>
  <c r="AC46" i="10"/>
  <c r="AB46" i="10"/>
  <c r="Y46" i="10"/>
  <c r="W46" i="10"/>
  <c r="AH45" i="10"/>
  <c r="AF45" i="10"/>
  <c r="Z45" i="10"/>
  <c r="AD45" i="10"/>
  <c r="AC45" i="10"/>
  <c r="AB45" i="10"/>
  <c r="Y45" i="10"/>
  <c r="W45" i="10"/>
  <c r="AH44" i="10"/>
  <c r="AF44" i="10"/>
  <c r="Z44" i="10"/>
  <c r="AD44" i="10"/>
  <c r="AC44" i="10"/>
  <c r="AB44" i="10"/>
  <c r="Y44" i="10"/>
  <c r="W44" i="10"/>
  <c r="AH43" i="10"/>
  <c r="AF43" i="10"/>
  <c r="Z43" i="10"/>
  <c r="AD43" i="10"/>
  <c r="AC43" i="10"/>
  <c r="AB43" i="10"/>
  <c r="Y43" i="10"/>
  <c r="W43" i="10"/>
  <c r="AH42" i="10"/>
  <c r="AF42" i="10"/>
  <c r="Z42" i="10"/>
  <c r="AD42" i="10"/>
  <c r="AC42" i="10"/>
  <c r="AB42" i="10"/>
  <c r="Y42" i="10"/>
  <c r="W42" i="10"/>
  <c r="AH41" i="10"/>
  <c r="AF41" i="10"/>
  <c r="Z41" i="10"/>
  <c r="AD41" i="10"/>
  <c r="AC41" i="10"/>
  <c r="AB41" i="10"/>
  <c r="Y41" i="10"/>
  <c r="W41" i="10"/>
  <c r="AH40" i="10"/>
  <c r="AF40" i="10"/>
  <c r="Z40" i="10"/>
  <c r="AD40" i="10"/>
  <c r="AC40" i="10"/>
  <c r="AB40" i="10"/>
  <c r="Y40" i="10"/>
  <c r="W40" i="10"/>
  <c r="AH39" i="10"/>
  <c r="AF39" i="10"/>
  <c r="Z39" i="10"/>
  <c r="AD39" i="10"/>
  <c r="AC39" i="10"/>
  <c r="AB39" i="10"/>
  <c r="Y39" i="10"/>
  <c r="W39" i="10"/>
  <c r="AH38" i="10"/>
  <c r="AF38" i="10"/>
  <c r="Z38" i="10"/>
  <c r="AD38" i="10"/>
  <c r="AC38" i="10"/>
  <c r="AB38" i="10"/>
  <c r="Y38" i="10"/>
  <c r="W38" i="10"/>
  <c r="AH37" i="10"/>
  <c r="AF37" i="10"/>
  <c r="Z37" i="10"/>
  <c r="AD37" i="10"/>
  <c r="AC37" i="10"/>
  <c r="AB37" i="10"/>
  <c r="Y37" i="10"/>
  <c r="W37" i="10"/>
  <c r="AH36" i="10"/>
  <c r="AF36" i="10"/>
  <c r="Z36" i="10"/>
  <c r="AD36" i="10"/>
  <c r="AC36" i="10"/>
  <c r="AB36" i="10"/>
  <c r="Y36" i="10"/>
  <c r="W36" i="10"/>
  <c r="AH35" i="10"/>
  <c r="AF35" i="10"/>
  <c r="Z35" i="10"/>
  <c r="AD35" i="10"/>
  <c r="AC35" i="10"/>
  <c r="AB35" i="10"/>
  <c r="Y35" i="10"/>
  <c r="W35" i="10"/>
  <c r="AH34" i="10"/>
  <c r="AF34" i="10"/>
  <c r="Z34" i="10"/>
  <c r="AD34" i="10"/>
  <c r="AC34" i="10"/>
  <c r="AB34" i="10"/>
  <c r="Y34" i="10"/>
  <c r="W34" i="10"/>
  <c r="AH33" i="10"/>
  <c r="AF33" i="10"/>
  <c r="Z33" i="10"/>
  <c r="AD33" i="10"/>
  <c r="AC33" i="10"/>
  <c r="AB33" i="10"/>
  <c r="Y33" i="10"/>
  <c r="W33" i="10"/>
  <c r="AH32" i="10"/>
  <c r="AF32" i="10"/>
  <c r="Z32" i="10"/>
  <c r="AD32" i="10"/>
  <c r="AC32" i="10"/>
  <c r="AB32" i="10"/>
  <c r="Y32" i="10"/>
  <c r="W32" i="10"/>
  <c r="AH31" i="10"/>
  <c r="AF31" i="10"/>
  <c r="Z31" i="10"/>
  <c r="AD31" i="10"/>
  <c r="AC31" i="10"/>
  <c r="AB31" i="10"/>
  <c r="Y31" i="10"/>
  <c r="W31" i="10"/>
  <c r="AH30" i="10"/>
  <c r="AF30" i="10"/>
  <c r="Z30" i="10"/>
  <c r="AD30" i="10"/>
  <c r="AC30" i="10"/>
  <c r="AB30" i="10"/>
  <c r="Y30" i="10"/>
  <c r="W30" i="10"/>
  <c r="AH29" i="10"/>
  <c r="AF29" i="10"/>
  <c r="Z29" i="10"/>
  <c r="AD29" i="10"/>
  <c r="AC29" i="10"/>
  <c r="AB29" i="10"/>
  <c r="Y29" i="10"/>
  <c r="W29" i="10"/>
  <c r="AH28" i="10"/>
  <c r="AF28" i="10"/>
  <c r="Z28" i="10"/>
  <c r="AD28" i="10"/>
  <c r="AC28" i="10"/>
  <c r="AB28" i="10"/>
  <c r="Y28" i="10"/>
  <c r="W28" i="10"/>
  <c r="AH27" i="10"/>
  <c r="AF27" i="10"/>
  <c r="Z27" i="10"/>
  <c r="AD27" i="10"/>
  <c r="AC27" i="10"/>
  <c r="AB27" i="10"/>
  <c r="Y27" i="10"/>
  <c r="W27" i="10"/>
  <c r="AH26" i="10"/>
  <c r="AF26" i="10"/>
  <c r="Z26" i="10"/>
  <c r="AD26" i="10"/>
  <c r="AC26" i="10"/>
  <c r="AB26" i="10"/>
  <c r="Y26" i="10"/>
  <c r="W26" i="10"/>
  <c r="AH25" i="10"/>
  <c r="AF25" i="10"/>
  <c r="Z25" i="10"/>
  <c r="AD25" i="10"/>
  <c r="AC25" i="10"/>
  <c r="AB25" i="10"/>
  <c r="Y25" i="10"/>
  <c r="W25" i="10"/>
  <c r="AH24" i="10"/>
  <c r="AF24" i="10"/>
  <c r="Z24" i="10"/>
  <c r="AD24" i="10"/>
  <c r="AC24" i="10"/>
  <c r="AB24" i="10"/>
  <c r="Y24" i="10"/>
  <c r="W24" i="10"/>
  <c r="AH23" i="10"/>
  <c r="AF23" i="10"/>
  <c r="Z23" i="10"/>
  <c r="AD23" i="10"/>
  <c r="AC23" i="10"/>
  <c r="AB23" i="10"/>
  <c r="Y23" i="10"/>
  <c r="W23" i="10"/>
  <c r="AH22" i="10"/>
  <c r="AF22" i="10"/>
  <c r="Z22" i="10"/>
  <c r="AD22" i="10"/>
  <c r="AC22" i="10"/>
  <c r="AB22" i="10"/>
  <c r="Y22" i="10"/>
  <c r="W22" i="10"/>
  <c r="AH21" i="10"/>
  <c r="AF21" i="10"/>
  <c r="Z21" i="10"/>
  <c r="AD21" i="10"/>
  <c r="AC21" i="10"/>
  <c r="AB21" i="10"/>
  <c r="Y21" i="10"/>
  <c r="W21" i="10"/>
  <c r="AH20" i="10"/>
  <c r="AF20" i="10"/>
  <c r="Z20" i="10"/>
  <c r="AD20" i="10"/>
  <c r="AC20" i="10"/>
  <c r="AB20" i="10"/>
  <c r="Y20" i="10"/>
  <c r="W20" i="10"/>
  <c r="AH19" i="10"/>
  <c r="AF19" i="10"/>
  <c r="Z19" i="10"/>
  <c r="AD19" i="10"/>
  <c r="AC19" i="10"/>
  <c r="AB19" i="10"/>
  <c r="Y19" i="10"/>
  <c r="W19" i="10"/>
  <c r="AH18" i="10"/>
  <c r="AF18" i="10"/>
  <c r="Z18" i="10"/>
  <c r="AD18" i="10"/>
  <c r="AC18" i="10"/>
  <c r="AB18" i="10"/>
  <c r="Y18" i="10"/>
  <c r="W18" i="10"/>
  <c r="AH17" i="10"/>
  <c r="AF17" i="10"/>
  <c r="Z17" i="10"/>
  <c r="AD17" i="10"/>
  <c r="AC17" i="10"/>
  <c r="AB17" i="10"/>
  <c r="Y17" i="10"/>
  <c r="W17" i="10"/>
  <c r="AH16" i="10"/>
  <c r="AF16" i="10"/>
  <c r="Z16" i="10"/>
  <c r="AD16" i="10"/>
  <c r="AC16" i="10"/>
  <c r="AB16" i="10"/>
  <c r="Y16" i="10"/>
  <c r="W16" i="10"/>
  <c r="AH15" i="10"/>
  <c r="AF15" i="10"/>
  <c r="Z15" i="10"/>
  <c r="AD15" i="10"/>
  <c r="AC15" i="10"/>
  <c r="AB15" i="10"/>
  <c r="Y15" i="10"/>
  <c r="W15" i="10"/>
  <c r="AH14" i="10"/>
  <c r="AF14" i="10"/>
  <c r="Z14" i="10"/>
  <c r="AD14" i="10"/>
  <c r="AC14" i="10"/>
  <c r="AB14" i="10"/>
  <c r="Y14" i="10"/>
  <c r="W14" i="10"/>
  <c r="AH13" i="10"/>
  <c r="AF13" i="10"/>
  <c r="Z13" i="10"/>
  <c r="AD13" i="10"/>
  <c r="AC13" i="10"/>
  <c r="AB13" i="10"/>
  <c r="Y13" i="10"/>
  <c r="W13" i="10"/>
  <c r="AH12" i="10"/>
  <c r="AF12" i="10"/>
  <c r="Z12" i="10"/>
  <c r="AD12" i="10"/>
  <c r="AC12" i="10"/>
  <c r="AB12" i="10"/>
  <c r="Y12" i="10"/>
  <c r="W12" i="10"/>
  <c r="AH11" i="10"/>
  <c r="AF11" i="10"/>
  <c r="Z11" i="10"/>
  <c r="AD11" i="10"/>
  <c r="AC11" i="10"/>
  <c r="AB11" i="10"/>
  <c r="Y11" i="10"/>
  <c r="W11" i="10"/>
  <c r="AJ10" i="10"/>
  <c r="AH10" i="10"/>
  <c r="AF10" i="10"/>
  <c r="Z10" i="10"/>
  <c r="AD10" i="10"/>
  <c r="AC10" i="10"/>
  <c r="AB10" i="10"/>
  <c r="Y10" i="10"/>
  <c r="W10" i="10"/>
  <c r="AJ9" i="10"/>
  <c r="AH9" i="10"/>
  <c r="AF9" i="10"/>
  <c r="Z9" i="10"/>
  <c r="AD9" i="10"/>
  <c r="AC9" i="10"/>
  <c r="AB9" i="10"/>
  <c r="Y9" i="10"/>
  <c r="W9" i="10"/>
  <c r="AJ8" i="10"/>
  <c r="AH8" i="10"/>
  <c r="AF8" i="10"/>
  <c r="Z8" i="10"/>
  <c r="AD8" i="10"/>
  <c r="AC8" i="10"/>
  <c r="AB8" i="10"/>
  <c r="Y8" i="10"/>
  <c r="W8" i="10"/>
  <c r="AJ7" i="10"/>
  <c r="AH7" i="10"/>
  <c r="AF7" i="10"/>
  <c r="Z7" i="10"/>
  <c r="AD7" i="10"/>
  <c r="AC7" i="10"/>
  <c r="AB7" i="10"/>
  <c r="Y7" i="10"/>
  <c r="W7" i="10"/>
  <c r="AJ6" i="10"/>
  <c r="AH6" i="10"/>
  <c r="AF6" i="10"/>
  <c r="Z6" i="10"/>
  <c r="AD6" i="10"/>
  <c r="AC6" i="10"/>
  <c r="AB6" i="10"/>
  <c r="Y6" i="10"/>
  <c r="W6" i="10"/>
  <c r="AJ5" i="10"/>
  <c r="AH5" i="10"/>
  <c r="AF5" i="10"/>
  <c r="Z5" i="10"/>
  <c r="AD5" i="10"/>
  <c r="AC5" i="10"/>
  <c r="AB5" i="10"/>
  <c r="Y5" i="10"/>
  <c r="W5" i="10"/>
  <c r="AJ4" i="10"/>
  <c r="AH4" i="10"/>
  <c r="AF4" i="10"/>
  <c r="Z4" i="10"/>
  <c r="AD4" i="10"/>
  <c r="AC4" i="10"/>
  <c r="AB4" i="10"/>
  <c r="Y4" i="10"/>
  <c r="W4" i="10"/>
  <c r="AJ3" i="10"/>
  <c r="AH3" i="10"/>
  <c r="AF3" i="10"/>
  <c r="Z3" i="10"/>
  <c r="AD3" i="10"/>
  <c r="AC3" i="10"/>
  <c r="AB3" i="10"/>
  <c r="Y3" i="10"/>
  <c r="W3" i="10"/>
  <c r="AJ2" i="10"/>
  <c r="AH2" i="10"/>
  <c r="AF2" i="10"/>
  <c r="Z2" i="10"/>
  <c r="AD2" i="10"/>
  <c r="AC2" i="10"/>
  <c r="AB2" i="10"/>
  <c r="Y2" i="10"/>
  <c r="W2" i="10"/>
  <c r="L52" i="10"/>
  <c r="K52" i="10"/>
  <c r="G52" i="10"/>
  <c r="H52" i="10" s="1"/>
  <c r="D52" i="10"/>
  <c r="B52" i="10"/>
  <c r="L51" i="10"/>
  <c r="K51" i="10"/>
  <c r="G51" i="10"/>
  <c r="H51" i="10" s="1"/>
  <c r="D51" i="10"/>
  <c r="B51" i="10"/>
  <c r="L50" i="10"/>
  <c r="K50" i="10"/>
  <c r="G50" i="10"/>
  <c r="H50" i="10" s="1"/>
  <c r="D50" i="10"/>
  <c r="B50" i="10"/>
  <c r="L49" i="10"/>
  <c r="K49" i="10"/>
  <c r="G49" i="10"/>
  <c r="H49" i="10" s="1"/>
  <c r="D49" i="10"/>
  <c r="B49" i="10"/>
  <c r="L48" i="10"/>
  <c r="K48" i="10"/>
  <c r="G48" i="10"/>
  <c r="H48" i="10" s="1"/>
  <c r="D48" i="10"/>
  <c r="B48" i="10"/>
  <c r="L47" i="10"/>
  <c r="K47" i="10"/>
  <c r="G47" i="10"/>
  <c r="H47" i="10" s="1"/>
  <c r="D47" i="10"/>
  <c r="B47" i="10"/>
  <c r="L46" i="10"/>
  <c r="K46" i="10"/>
  <c r="G46" i="10"/>
  <c r="H46" i="10" s="1"/>
  <c r="D46" i="10"/>
  <c r="B46" i="10"/>
  <c r="L45" i="10"/>
  <c r="K45" i="10"/>
  <c r="G45" i="10"/>
  <c r="H45" i="10" s="1"/>
  <c r="D45" i="10"/>
  <c r="B45" i="10"/>
  <c r="L44" i="10"/>
  <c r="K44" i="10"/>
  <c r="G44" i="10"/>
  <c r="H44" i="10" s="1"/>
  <c r="D44" i="10"/>
  <c r="B44" i="10"/>
  <c r="L43" i="10"/>
  <c r="K43" i="10"/>
  <c r="G43" i="10"/>
  <c r="H43" i="10" s="1"/>
  <c r="D43" i="10"/>
  <c r="B43" i="10"/>
  <c r="L42" i="10"/>
  <c r="K42" i="10"/>
  <c r="G42" i="10"/>
  <c r="H42" i="10" s="1"/>
  <c r="D42" i="10"/>
  <c r="B42" i="10"/>
  <c r="L41" i="10"/>
  <c r="K41" i="10"/>
  <c r="G41" i="10"/>
  <c r="H41" i="10" s="1"/>
  <c r="D41" i="10"/>
  <c r="B41" i="10"/>
  <c r="L40" i="10"/>
  <c r="K40" i="10"/>
  <c r="G40" i="10"/>
  <c r="H40" i="10" s="1"/>
  <c r="D40" i="10"/>
  <c r="B40" i="10"/>
  <c r="L39" i="10"/>
  <c r="K39" i="10"/>
  <c r="G39" i="10"/>
  <c r="H39" i="10" s="1"/>
  <c r="D39" i="10"/>
  <c r="B39" i="10"/>
  <c r="L38" i="10"/>
  <c r="K38" i="10"/>
  <c r="G38" i="10"/>
  <c r="H38" i="10" s="1"/>
  <c r="D38" i="10"/>
  <c r="B38" i="10"/>
  <c r="L37" i="10"/>
  <c r="K37" i="10"/>
  <c r="G37" i="10"/>
  <c r="H37" i="10" s="1"/>
  <c r="D37" i="10"/>
  <c r="B37" i="10"/>
  <c r="L36" i="10"/>
  <c r="K36" i="10"/>
  <c r="G36" i="10"/>
  <c r="H36" i="10" s="1"/>
  <c r="D36" i="10"/>
  <c r="B36" i="10"/>
  <c r="L35" i="10"/>
  <c r="K35" i="10"/>
  <c r="G35" i="10"/>
  <c r="H35" i="10" s="1"/>
  <c r="D35" i="10"/>
  <c r="B35" i="10"/>
  <c r="L34" i="10"/>
  <c r="K34" i="10"/>
  <c r="G34" i="10"/>
  <c r="H34" i="10" s="1"/>
  <c r="D34" i="10"/>
  <c r="B34" i="10"/>
  <c r="L33" i="10"/>
  <c r="K33" i="10"/>
  <c r="G33" i="10"/>
  <c r="H33" i="10" s="1"/>
  <c r="D33" i="10"/>
  <c r="B33" i="10"/>
  <c r="L32" i="10"/>
  <c r="K32" i="10"/>
  <c r="G32" i="10"/>
  <c r="H32" i="10" s="1"/>
  <c r="D32" i="10"/>
  <c r="B32" i="10"/>
  <c r="L31" i="10"/>
  <c r="K31" i="10"/>
  <c r="G31" i="10"/>
  <c r="H31" i="10" s="1"/>
  <c r="D31" i="10"/>
  <c r="B31" i="10"/>
  <c r="L30" i="10"/>
  <c r="K30" i="10"/>
  <c r="G30" i="10"/>
  <c r="H30" i="10" s="1"/>
  <c r="D30" i="10"/>
  <c r="B30" i="10"/>
  <c r="L29" i="10"/>
  <c r="K29" i="10"/>
  <c r="G29" i="10"/>
  <c r="H29" i="10" s="1"/>
  <c r="D29" i="10"/>
  <c r="B29" i="10"/>
  <c r="L28" i="10"/>
  <c r="K28" i="10"/>
  <c r="G28" i="10"/>
  <c r="H28" i="10" s="1"/>
  <c r="D28" i="10"/>
  <c r="B28" i="10"/>
  <c r="L27" i="10"/>
  <c r="K27" i="10"/>
  <c r="G27" i="10"/>
  <c r="H27" i="10" s="1"/>
  <c r="D27" i="10"/>
  <c r="B27" i="10"/>
  <c r="L26" i="10"/>
  <c r="K26" i="10"/>
  <c r="G26" i="10"/>
  <c r="H26" i="10" s="1"/>
  <c r="D26" i="10"/>
  <c r="B26" i="10"/>
  <c r="L25" i="10"/>
  <c r="K25" i="10"/>
  <c r="G25" i="10"/>
  <c r="D25" i="10"/>
  <c r="B25" i="10"/>
  <c r="L24" i="10"/>
  <c r="K24" i="10"/>
  <c r="G24" i="10"/>
  <c r="D24" i="10"/>
  <c r="B24" i="10"/>
  <c r="L23" i="10"/>
  <c r="K23" i="10"/>
  <c r="G23" i="10"/>
  <c r="D23" i="10"/>
  <c r="B23" i="10"/>
  <c r="L22" i="10"/>
  <c r="K22" i="10"/>
  <c r="G22" i="10"/>
  <c r="D22" i="10"/>
  <c r="B22" i="10"/>
  <c r="L21" i="10"/>
  <c r="K21" i="10"/>
  <c r="G21" i="10"/>
  <c r="D21" i="10"/>
  <c r="B21" i="10"/>
  <c r="L20" i="10"/>
  <c r="K20" i="10"/>
  <c r="G20" i="10"/>
  <c r="D20" i="10"/>
  <c r="B20" i="10"/>
  <c r="L19" i="10"/>
  <c r="K19" i="10"/>
  <c r="G19" i="10"/>
  <c r="D19" i="10"/>
  <c r="B19" i="10"/>
  <c r="L18" i="10"/>
  <c r="K18" i="10"/>
  <c r="G18" i="10"/>
  <c r="D18" i="10"/>
  <c r="B18" i="10"/>
  <c r="L17" i="10"/>
  <c r="K17" i="10"/>
  <c r="G17" i="10"/>
  <c r="D17" i="10"/>
  <c r="B17" i="10"/>
  <c r="L16" i="10"/>
  <c r="K16" i="10"/>
  <c r="G16" i="10"/>
  <c r="D16" i="10"/>
  <c r="B16" i="10"/>
  <c r="L15" i="10"/>
  <c r="K15" i="10"/>
  <c r="G15" i="10"/>
  <c r="D15" i="10"/>
  <c r="B15" i="10"/>
  <c r="L14" i="10"/>
  <c r="K14" i="10"/>
  <c r="G14" i="10"/>
  <c r="D14" i="10"/>
  <c r="B14" i="10"/>
  <c r="L13" i="10"/>
  <c r="K13" i="10"/>
  <c r="G13" i="10"/>
  <c r="D13" i="10"/>
  <c r="B13" i="10"/>
  <c r="L12" i="10"/>
  <c r="K12" i="10"/>
  <c r="G12" i="10"/>
  <c r="D12" i="10"/>
  <c r="B12" i="10"/>
  <c r="L11" i="10"/>
  <c r="K11" i="10"/>
  <c r="G11" i="10"/>
  <c r="D11" i="10"/>
  <c r="B11" i="10"/>
  <c r="L10" i="10"/>
  <c r="K10" i="10"/>
  <c r="G10" i="10"/>
  <c r="D10" i="10"/>
  <c r="B10" i="10"/>
  <c r="L9" i="10"/>
  <c r="K9" i="10"/>
  <c r="G9" i="10"/>
  <c r="D9" i="10"/>
  <c r="B9" i="10"/>
  <c r="L8" i="10"/>
  <c r="K8" i="10"/>
  <c r="G8" i="10"/>
  <c r="D8" i="10"/>
  <c r="B8" i="10"/>
  <c r="L7" i="10"/>
  <c r="K7" i="10"/>
  <c r="G7" i="10"/>
  <c r="D7" i="10"/>
  <c r="B7" i="10"/>
  <c r="L6" i="10"/>
  <c r="K6" i="10"/>
  <c r="G6" i="10"/>
  <c r="D6" i="10"/>
  <c r="B6" i="10"/>
  <c r="L5" i="10"/>
  <c r="K5" i="10"/>
  <c r="G5" i="10"/>
  <c r="D5" i="10"/>
  <c r="B5" i="10"/>
  <c r="L4" i="10"/>
  <c r="K4" i="10"/>
  <c r="G4" i="10"/>
  <c r="D4" i="10"/>
  <c r="B4" i="10"/>
  <c r="L3" i="10"/>
  <c r="K3" i="10"/>
  <c r="G3" i="10"/>
  <c r="D3" i="10"/>
  <c r="B3" i="10"/>
  <c r="L2" i="10"/>
  <c r="K2" i="10"/>
  <c r="G2" i="10"/>
  <c r="D2" i="10"/>
  <c r="B2" i="10"/>
  <c r="L227" i="11"/>
  <c r="K227" i="11"/>
  <c r="L226" i="11"/>
  <c r="K226" i="11"/>
  <c r="L225" i="11"/>
  <c r="K225" i="11"/>
  <c r="L224" i="11"/>
  <c r="K224" i="11"/>
  <c r="L223" i="11"/>
  <c r="K223" i="11"/>
  <c r="L222" i="11"/>
  <c r="K222" i="11"/>
  <c r="L221" i="11"/>
  <c r="K221" i="11"/>
  <c r="L220" i="11"/>
  <c r="K220" i="11"/>
  <c r="L219" i="11"/>
  <c r="K219" i="11"/>
  <c r="L218" i="11"/>
  <c r="K218" i="11"/>
  <c r="L217" i="11"/>
  <c r="K217" i="11"/>
  <c r="L216" i="11"/>
  <c r="K216" i="11"/>
  <c r="L215" i="11"/>
  <c r="K215" i="11"/>
  <c r="L214" i="11"/>
  <c r="K214" i="11"/>
  <c r="O213" i="11"/>
  <c r="L213" i="11"/>
  <c r="K213" i="11"/>
  <c r="L212" i="11"/>
  <c r="K212" i="11"/>
  <c r="L211" i="11"/>
  <c r="K211" i="11"/>
  <c r="L210" i="11"/>
  <c r="K210" i="11"/>
  <c r="L209" i="11"/>
  <c r="K209" i="11"/>
  <c r="L208" i="11"/>
  <c r="K208" i="11"/>
  <c r="L207" i="11"/>
  <c r="K207" i="11"/>
  <c r="L206" i="11"/>
  <c r="K206" i="11"/>
  <c r="L205" i="11"/>
  <c r="K205" i="11"/>
  <c r="L204" i="11"/>
  <c r="K204" i="11"/>
  <c r="L203" i="11"/>
  <c r="K203" i="11"/>
  <c r="L202" i="11"/>
  <c r="K202" i="11"/>
  <c r="L201" i="11"/>
  <c r="K201" i="11"/>
  <c r="L200" i="11"/>
  <c r="K200" i="11"/>
  <c r="L199" i="11"/>
  <c r="K199" i="11"/>
  <c r="L198" i="11"/>
  <c r="K198" i="11"/>
  <c r="L197" i="11"/>
  <c r="K197" i="11"/>
  <c r="L196" i="11"/>
  <c r="K196" i="11"/>
  <c r="L195" i="11"/>
  <c r="K195" i="11"/>
  <c r="L194" i="11"/>
  <c r="K194" i="11"/>
  <c r="L193" i="11"/>
  <c r="K193" i="11"/>
  <c r="L192" i="11"/>
  <c r="K192" i="11"/>
  <c r="L191" i="11"/>
  <c r="K191" i="11"/>
  <c r="L190" i="11"/>
  <c r="K190" i="11"/>
  <c r="L189" i="11"/>
  <c r="K189" i="11"/>
  <c r="L188" i="11"/>
  <c r="K188" i="11"/>
  <c r="L187" i="11"/>
  <c r="K187" i="11"/>
  <c r="L186" i="11"/>
  <c r="K186" i="11"/>
  <c r="L185" i="11"/>
  <c r="K185" i="11"/>
  <c r="L184" i="11"/>
  <c r="K184" i="11"/>
  <c r="L183" i="11"/>
  <c r="K183" i="11"/>
  <c r="L182" i="11"/>
  <c r="K182" i="11"/>
  <c r="L181" i="11"/>
  <c r="K181" i="11"/>
  <c r="L180" i="11"/>
  <c r="K180" i="11"/>
  <c r="L179" i="11"/>
  <c r="K179" i="11"/>
  <c r="L178" i="11"/>
  <c r="K178" i="11"/>
  <c r="L177" i="11"/>
  <c r="K177" i="11"/>
  <c r="L176" i="11"/>
  <c r="K176" i="11"/>
  <c r="L175" i="11"/>
  <c r="K175" i="11"/>
  <c r="L174" i="11"/>
  <c r="K174" i="11"/>
  <c r="L173" i="11"/>
  <c r="K173" i="11"/>
  <c r="L172" i="11"/>
  <c r="K172" i="11"/>
  <c r="L171" i="11"/>
  <c r="K171" i="11"/>
  <c r="L170" i="11"/>
  <c r="K170" i="11"/>
  <c r="L169" i="11"/>
  <c r="K169" i="11"/>
  <c r="L168" i="11"/>
  <c r="K168" i="11"/>
  <c r="L167" i="11"/>
  <c r="K167" i="11"/>
  <c r="L166" i="11"/>
  <c r="K166" i="11"/>
  <c r="L165" i="11"/>
  <c r="K165" i="11"/>
  <c r="L164" i="11"/>
  <c r="K164" i="11"/>
  <c r="L163" i="11"/>
  <c r="K163" i="11"/>
  <c r="L162" i="11"/>
  <c r="K162" i="11"/>
  <c r="L161" i="11"/>
  <c r="K161" i="11"/>
  <c r="O160" i="11"/>
  <c r="L160" i="11"/>
  <c r="K160" i="11"/>
  <c r="L159" i="11"/>
  <c r="K159" i="11"/>
  <c r="L158" i="11"/>
  <c r="K158" i="11"/>
  <c r="L157" i="11"/>
  <c r="K157" i="11"/>
  <c r="L156" i="11"/>
  <c r="K156" i="11"/>
  <c r="L155" i="11"/>
  <c r="K155" i="11"/>
  <c r="L154" i="11"/>
  <c r="K154" i="11"/>
  <c r="L153" i="11"/>
  <c r="K153" i="11"/>
  <c r="L152" i="11"/>
  <c r="K152" i="11"/>
  <c r="L151" i="11"/>
  <c r="K151" i="11"/>
  <c r="L150" i="11"/>
  <c r="K150" i="11"/>
  <c r="L149" i="11"/>
  <c r="K149" i="11"/>
  <c r="L148" i="11"/>
  <c r="K148" i="11"/>
  <c r="L147" i="11"/>
  <c r="K147" i="11"/>
  <c r="L146" i="11"/>
  <c r="K146" i="11"/>
  <c r="L145" i="11"/>
  <c r="K145" i="11"/>
  <c r="L144" i="11"/>
  <c r="K144" i="11"/>
  <c r="L143" i="11"/>
  <c r="K143" i="11"/>
  <c r="L142" i="11"/>
  <c r="K142" i="11"/>
  <c r="L141" i="11"/>
  <c r="K141" i="11"/>
  <c r="L140" i="11"/>
  <c r="K140" i="11"/>
  <c r="L139" i="11"/>
  <c r="K139" i="11"/>
  <c r="L138" i="11"/>
  <c r="K138" i="11"/>
  <c r="L137" i="11"/>
  <c r="K137" i="11"/>
  <c r="L136" i="11"/>
  <c r="K136" i="11"/>
  <c r="L135" i="11"/>
  <c r="K135" i="11"/>
  <c r="L134" i="11"/>
  <c r="K134" i="11"/>
  <c r="L133" i="11"/>
  <c r="K133" i="11"/>
  <c r="L132" i="11"/>
  <c r="K132" i="11"/>
  <c r="L131" i="11"/>
  <c r="K131" i="11"/>
  <c r="L130" i="11"/>
  <c r="K130" i="11"/>
  <c r="L129" i="11"/>
  <c r="K129" i="11"/>
  <c r="L128" i="11"/>
  <c r="K128" i="11"/>
  <c r="L127" i="11"/>
  <c r="K127" i="11"/>
  <c r="L126" i="11"/>
  <c r="K126" i="11"/>
  <c r="L125" i="11"/>
  <c r="K125" i="11"/>
  <c r="L124" i="11"/>
  <c r="K124" i="11"/>
  <c r="L123" i="11"/>
  <c r="K123" i="11"/>
  <c r="L122" i="11"/>
  <c r="K122" i="11"/>
  <c r="L121" i="11"/>
  <c r="K121" i="11"/>
  <c r="L120" i="11"/>
  <c r="K120" i="11"/>
  <c r="L119" i="11"/>
  <c r="K119" i="11"/>
  <c r="L118" i="11"/>
  <c r="K118" i="11"/>
  <c r="L117" i="11"/>
  <c r="K117" i="11"/>
  <c r="L116" i="11"/>
  <c r="K116" i="11"/>
  <c r="L115" i="11"/>
  <c r="K115" i="11"/>
  <c r="L114" i="11"/>
  <c r="K114" i="11"/>
  <c r="L113" i="11"/>
  <c r="K113" i="11"/>
  <c r="L112" i="11"/>
  <c r="K112" i="11"/>
  <c r="L111" i="11"/>
  <c r="K111" i="11"/>
  <c r="L110" i="11"/>
  <c r="K110" i="11"/>
  <c r="L109" i="11"/>
  <c r="K109" i="11"/>
  <c r="L108" i="11"/>
  <c r="K108" i="11"/>
  <c r="O107" i="11"/>
  <c r="L107" i="11"/>
  <c r="K107" i="11"/>
  <c r="L106" i="11"/>
  <c r="K106" i="11"/>
  <c r="L105" i="11"/>
  <c r="K105" i="11"/>
  <c r="L104" i="11"/>
  <c r="K104" i="11"/>
  <c r="L103" i="11"/>
  <c r="K103" i="11"/>
  <c r="L102" i="11"/>
  <c r="K102" i="11"/>
  <c r="L101" i="11"/>
  <c r="K101" i="11"/>
  <c r="L100" i="11"/>
  <c r="K100" i="11"/>
  <c r="L99" i="11"/>
  <c r="K99" i="11"/>
  <c r="L98" i="11"/>
  <c r="K98" i="11"/>
  <c r="L97" i="11"/>
  <c r="K97" i="11"/>
  <c r="L96" i="11"/>
  <c r="K96" i="11"/>
  <c r="L95" i="11"/>
  <c r="K95" i="11"/>
  <c r="L94" i="11"/>
  <c r="K94" i="11"/>
  <c r="L93" i="11"/>
  <c r="K93" i="11"/>
  <c r="L92" i="11"/>
  <c r="K92" i="11"/>
  <c r="L91" i="11"/>
  <c r="K91" i="11"/>
  <c r="L90" i="11"/>
  <c r="K90" i="11"/>
  <c r="L89" i="11"/>
  <c r="K89" i="11"/>
  <c r="L88" i="11"/>
  <c r="K88" i="11"/>
  <c r="L87" i="11"/>
  <c r="K87" i="11"/>
  <c r="L86" i="11"/>
  <c r="K86" i="11"/>
  <c r="L85" i="11"/>
  <c r="K85" i="11"/>
  <c r="L84" i="11"/>
  <c r="K84" i="11"/>
  <c r="L83" i="11"/>
  <c r="K83" i="11"/>
  <c r="L82" i="11"/>
  <c r="K82" i="11"/>
  <c r="L81" i="11"/>
  <c r="K81" i="11"/>
  <c r="L80" i="11"/>
  <c r="K80" i="11"/>
  <c r="L79" i="11"/>
  <c r="K79" i="11"/>
  <c r="L78" i="11"/>
  <c r="K78" i="11"/>
  <c r="L77" i="11"/>
  <c r="K77" i="11"/>
  <c r="L76" i="11"/>
  <c r="K76" i="11"/>
  <c r="L75" i="11"/>
  <c r="K75" i="11"/>
  <c r="L74" i="11"/>
  <c r="K74" i="11"/>
  <c r="L73" i="11"/>
  <c r="K73" i="11"/>
  <c r="L72" i="11"/>
  <c r="K72" i="11"/>
  <c r="L71" i="11"/>
  <c r="K71" i="11"/>
  <c r="L70" i="11"/>
  <c r="K70" i="11"/>
  <c r="L69" i="11"/>
  <c r="K69" i="11"/>
  <c r="L68" i="11"/>
  <c r="K68" i="11"/>
  <c r="L67" i="11"/>
  <c r="K67" i="11"/>
  <c r="L66" i="11"/>
  <c r="K66" i="11"/>
  <c r="L65" i="11"/>
  <c r="K65" i="11"/>
  <c r="L64" i="11"/>
  <c r="K64" i="11"/>
  <c r="L63" i="11"/>
  <c r="K63" i="11"/>
  <c r="L62" i="11"/>
  <c r="K62" i="11"/>
  <c r="L61" i="11"/>
  <c r="K61" i="11"/>
  <c r="L60" i="11"/>
  <c r="K60" i="11"/>
  <c r="L59" i="11"/>
  <c r="K59" i="11"/>
  <c r="L58" i="11"/>
  <c r="K58" i="11"/>
  <c r="L57" i="11"/>
  <c r="K57" i="11"/>
  <c r="L56" i="11"/>
  <c r="K56" i="11"/>
  <c r="O55" i="11"/>
  <c r="L55" i="11"/>
  <c r="K55" i="11"/>
  <c r="L54" i="11"/>
  <c r="K54" i="11"/>
  <c r="L53" i="11"/>
  <c r="K53" i="11"/>
  <c r="L52" i="11"/>
  <c r="K52" i="11"/>
  <c r="L51" i="11"/>
  <c r="K51" i="11"/>
  <c r="L50" i="11"/>
  <c r="K50" i="11"/>
  <c r="L49" i="11"/>
  <c r="K49" i="11"/>
  <c r="L48" i="11"/>
  <c r="K48" i="11"/>
  <c r="L47" i="11"/>
  <c r="K47" i="11"/>
  <c r="L46" i="11"/>
  <c r="K46" i="11"/>
  <c r="L45" i="11"/>
  <c r="K45" i="11"/>
  <c r="L44" i="11"/>
  <c r="K44" i="11"/>
  <c r="L43" i="11"/>
  <c r="K43" i="11"/>
  <c r="L42" i="11"/>
  <c r="K42" i="11"/>
  <c r="L41" i="11"/>
  <c r="K41" i="11"/>
  <c r="L40" i="11"/>
  <c r="K40" i="11"/>
  <c r="L39" i="11"/>
  <c r="K39" i="11"/>
  <c r="L38" i="11"/>
  <c r="K38" i="11"/>
  <c r="L37" i="11"/>
  <c r="K37" i="11"/>
  <c r="L36" i="11"/>
  <c r="K36" i="11"/>
  <c r="L35" i="11"/>
  <c r="K35" i="11"/>
  <c r="L34" i="11"/>
  <c r="K34" i="11"/>
  <c r="L33" i="11"/>
  <c r="K33" i="11"/>
  <c r="L32" i="11"/>
  <c r="K32" i="11"/>
  <c r="L31" i="11"/>
  <c r="K31" i="11"/>
  <c r="L30" i="11"/>
  <c r="K30" i="11"/>
  <c r="L29" i="11"/>
  <c r="K29" i="11"/>
  <c r="L28" i="11"/>
  <c r="K28" i="11"/>
  <c r="L27" i="11"/>
  <c r="K27" i="11"/>
  <c r="L26" i="11"/>
  <c r="K26" i="11"/>
  <c r="L25" i="11"/>
  <c r="K25" i="11"/>
  <c r="L24" i="11"/>
  <c r="K24" i="11"/>
  <c r="L23" i="11"/>
  <c r="K23" i="11"/>
  <c r="L22" i="11"/>
  <c r="K22" i="11"/>
  <c r="L21" i="11"/>
  <c r="K21" i="11"/>
  <c r="L20" i="11"/>
  <c r="K20" i="11"/>
  <c r="L19" i="11"/>
  <c r="K19" i="11"/>
  <c r="L18" i="11"/>
  <c r="K18" i="11"/>
  <c r="L17" i="11"/>
  <c r="K17" i="11"/>
  <c r="L16" i="11"/>
  <c r="K16" i="11"/>
  <c r="L15" i="11"/>
  <c r="K15" i="11"/>
  <c r="L14" i="11"/>
  <c r="K14" i="11"/>
  <c r="L13" i="11"/>
  <c r="K13" i="11"/>
  <c r="L12" i="11"/>
  <c r="K12" i="11"/>
  <c r="L11" i="11"/>
  <c r="K11" i="11"/>
  <c r="L10" i="11"/>
  <c r="K10" i="11"/>
  <c r="L9" i="11"/>
  <c r="K9" i="11"/>
  <c r="L8" i="11"/>
  <c r="K8" i="11"/>
  <c r="L7" i="11"/>
  <c r="K7" i="11"/>
  <c r="L6" i="11"/>
  <c r="K6" i="11"/>
  <c r="L5" i="11"/>
  <c r="K5" i="11"/>
  <c r="L4" i="11"/>
  <c r="K4" i="11"/>
  <c r="L3" i="11"/>
  <c r="K3" i="11"/>
  <c r="O2" i="11"/>
  <c r="L2" i="11"/>
  <c r="K2" i="11"/>
  <c r="G227" i="11"/>
  <c r="E227" i="11"/>
  <c r="C227" i="11"/>
  <c r="G226" i="11"/>
  <c r="E226" i="11"/>
  <c r="C226" i="11"/>
  <c r="G225" i="11"/>
  <c r="E225" i="11"/>
  <c r="C225" i="11"/>
  <c r="G224" i="11"/>
  <c r="E224" i="11"/>
  <c r="C224" i="11"/>
  <c r="G223" i="11"/>
  <c r="E223" i="11"/>
  <c r="C223" i="11"/>
  <c r="G222" i="11"/>
  <c r="E222" i="11"/>
  <c r="C222" i="11"/>
  <c r="G221" i="11"/>
  <c r="E221" i="11"/>
  <c r="C221" i="11"/>
  <c r="G220" i="11"/>
  <c r="E220" i="11"/>
  <c r="C220" i="11"/>
  <c r="G219" i="11"/>
  <c r="E219" i="11"/>
  <c r="C219" i="11"/>
  <c r="G218" i="11"/>
  <c r="E218" i="11"/>
  <c r="C218" i="11"/>
  <c r="G217" i="11"/>
  <c r="E217" i="11"/>
  <c r="C217" i="11"/>
  <c r="G216" i="11"/>
  <c r="E216" i="11"/>
  <c r="C216" i="11"/>
  <c r="G215" i="11"/>
  <c r="E215" i="11"/>
  <c r="C215" i="11"/>
  <c r="G214" i="11"/>
  <c r="E214" i="11"/>
  <c r="C214" i="11"/>
  <c r="G213" i="11"/>
  <c r="E213" i="11"/>
  <c r="C213" i="11"/>
  <c r="G212" i="11"/>
  <c r="E212" i="11"/>
  <c r="C212" i="11"/>
  <c r="G211" i="11"/>
  <c r="E211" i="11"/>
  <c r="C211" i="11"/>
  <c r="G210" i="11"/>
  <c r="E210" i="11"/>
  <c r="C210" i="11"/>
  <c r="G209" i="11"/>
  <c r="E209" i="11"/>
  <c r="C209" i="11"/>
  <c r="G208" i="11"/>
  <c r="E208" i="11"/>
  <c r="C208" i="11"/>
  <c r="G207" i="11"/>
  <c r="E207" i="11"/>
  <c r="C207" i="11"/>
  <c r="G206" i="11"/>
  <c r="E206" i="11"/>
  <c r="C206" i="11"/>
  <c r="G205" i="11"/>
  <c r="E205" i="11"/>
  <c r="C205" i="11"/>
  <c r="G204" i="11"/>
  <c r="E204" i="11"/>
  <c r="C204" i="11"/>
  <c r="G203" i="11"/>
  <c r="E203" i="11"/>
  <c r="C203" i="11"/>
  <c r="G202" i="11"/>
  <c r="E202" i="11"/>
  <c r="C202" i="11"/>
  <c r="G201" i="11"/>
  <c r="E201" i="11"/>
  <c r="C201" i="11"/>
  <c r="G200" i="11"/>
  <c r="E200" i="11"/>
  <c r="C200" i="11"/>
  <c r="G199" i="11"/>
  <c r="E199" i="11"/>
  <c r="C199" i="11"/>
  <c r="G198" i="11"/>
  <c r="E198" i="11"/>
  <c r="C198" i="11"/>
  <c r="G197" i="11"/>
  <c r="E197" i="11"/>
  <c r="C197" i="11"/>
  <c r="G196" i="11"/>
  <c r="E196" i="11"/>
  <c r="C196" i="11"/>
  <c r="G195" i="11"/>
  <c r="E195" i="11"/>
  <c r="C195" i="11"/>
  <c r="G194" i="11"/>
  <c r="E194" i="11"/>
  <c r="C194" i="11"/>
  <c r="G193" i="11"/>
  <c r="E193" i="11"/>
  <c r="C193" i="11"/>
  <c r="G192" i="11"/>
  <c r="E192" i="11"/>
  <c r="C192" i="11"/>
  <c r="G191" i="11"/>
  <c r="E191" i="11"/>
  <c r="C191" i="11"/>
  <c r="G190" i="11"/>
  <c r="E190" i="11"/>
  <c r="C190" i="11"/>
  <c r="G189" i="11"/>
  <c r="E189" i="11"/>
  <c r="C189" i="11"/>
  <c r="G188" i="11"/>
  <c r="E188" i="11"/>
  <c r="C188" i="11"/>
  <c r="G187" i="11"/>
  <c r="E187" i="11"/>
  <c r="C187" i="11"/>
  <c r="G186" i="11"/>
  <c r="E186" i="11"/>
  <c r="C186" i="11"/>
  <c r="G185" i="11"/>
  <c r="E185" i="11"/>
  <c r="C185" i="11"/>
  <c r="G184" i="11"/>
  <c r="E184" i="11"/>
  <c r="C184" i="11"/>
  <c r="G183" i="11"/>
  <c r="E183" i="11"/>
  <c r="C183" i="11"/>
  <c r="G182" i="11"/>
  <c r="E182" i="11"/>
  <c r="C182" i="11"/>
  <c r="G181" i="11"/>
  <c r="E181" i="11"/>
  <c r="C181" i="11"/>
  <c r="G180" i="11"/>
  <c r="E180" i="11"/>
  <c r="C180" i="11"/>
  <c r="G179" i="11"/>
  <c r="E179" i="11"/>
  <c r="C179" i="11"/>
  <c r="G178" i="11"/>
  <c r="E178" i="11"/>
  <c r="C178" i="11"/>
  <c r="G177" i="11"/>
  <c r="E177" i="11"/>
  <c r="C177" i="11"/>
  <c r="G176" i="11"/>
  <c r="E176" i="11"/>
  <c r="C176" i="11"/>
  <c r="G175" i="11"/>
  <c r="E175" i="11"/>
  <c r="C175" i="11"/>
  <c r="G174" i="11"/>
  <c r="E174" i="11"/>
  <c r="C174" i="11"/>
  <c r="G173" i="11"/>
  <c r="E173" i="11"/>
  <c r="C173" i="11"/>
  <c r="G172" i="11"/>
  <c r="E172" i="11"/>
  <c r="C172" i="11"/>
  <c r="G171" i="11"/>
  <c r="E171" i="11"/>
  <c r="C171" i="11"/>
  <c r="G170" i="11"/>
  <c r="E170" i="11"/>
  <c r="C170" i="11"/>
  <c r="G169" i="11"/>
  <c r="E169" i="11"/>
  <c r="C169" i="11"/>
  <c r="G168" i="11"/>
  <c r="E168" i="11"/>
  <c r="C168" i="11"/>
  <c r="G167" i="11"/>
  <c r="E167" i="11"/>
  <c r="C167" i="11"/>
  <c r="G166" i="11"/>
  <c r="E166" i="11"/>
  <c r="C166" i="11"/>
  <c r="G165" i="11"/>
  <c r="E165" i="11"/>
  <c r="C165" i="11"/>
  <c r="G164" i="11"/>
  <c r="E164" i="11"/>
  <c r="C164" i="11"/>
  <c r="G163" i="11"/>
  <c r="E163" i="11"/>
  <c r="C163" i="11"/>
  <c r="G162" i="11"/>
  <c r="E162" i="11"/>
  <c r="C162" i="11"/>
  <c r="G161" i="11"/>
  <c r="E161" i="11"/>
  <c r="C161" i="11"/>
  <c r="G160" i="11"/>
  <c r="E160" i="11"/>
  <c r="C160" i="11"/>
  <c r="G159" i="11"/>
  <c r="E159" i="11"/>
  <c r="C159" i="11"/>
  <c r="G158" i="11"/>
  <c r="E158" i="11"/>
  <c r="C158" i="11"/>
  <c r="G157" i="11"/>
  <c r="E157" i="11"/>
  <c r="C157" i="11"/>
  <c r="G156" i="11"/>
  <c r="E156" i="11"/>
  <c r="C156" i="11"/>
  <c r="G155" i="11"/>
  <c r="E155" i="11"/>
  <c r="C155" i="11"/>
  <c r="G154" i="11"/>
  <c r="E154" i="11"/>
  <c r="C154" i="11"/>
  <c r="G153" i="11"/>
  <c r="E153" i="11"/>
  <c r="C153" i="11"/>
  <c r="G152" i="11"/>
  <c r="E152" i="11"/>
  <c r="C152" i="11"/>
  <c r="G151" i="11"/>
  <c r="E151" i="11"/>
  <c r="C151" i="11"/>
  <c r="G150" i="11"/>
  <c r="E150" i="11"/>
  <c r="C150" i="11"/>
  <c r="G149" i="11"/>
  <c r="E149" i="11"/>
  <c r="C149" i="11"/>
  <c r="G148" i="11"/>
  <c r="E148" i="11"/>
  <c r="C148" i="11"/>
  <c r="G147" i="11"/>
  <c r="E147" i="11"/>
  <c r="C147" i="11"/>
  <c r="G146" i="11"/>
  <c r="E146" i="11"/>
  <c r="C146" i="11"/>
  <c r="G145" i="11"/>
  <c r="E145" i="11"/>
  <c r="C145" i="11"/>
  <c r="G144" i="11"/>
  <c r="E144" i="11"/>
  <c r="C144" i="11"/>
  <c r="G143" i="11"/>
  <c r="E143" i="11"/>
  <c r="C143" i="11"/>
  <c r="G142" i="11"/>
  <c r="E142" i="11"/>
  <c r="C142" i="11"/>
  <c r="G141" i="11"/>
  <c r="E141" i="11"/>
  <c r="C141" i="11"/>
  <c r="G140" i="11"/>
  <c r="E140" i="11"/>
  <c r="C140" i="11"/>
  <c r="G139" i="11"/>
  <c r="E139" i="11"/>
  <c r="C139" i="11"/>
  <c r="G138" i="11"/>
  <c r="E138" i="11"/>
  <c r="C138" i="11"/>
  <c r="G137" i="11"/>
  <c r="E137" i="11"/>
  <c r="C137" i="11"/>
  <c r="G136" i="11"/>
  <c r="E136" i="11"/>
  <c r="C136" i="11"/>
  <c r="G135" i="11"/>
  <c r="E135" i="11"/>
  <c r="C135" i="11"/>
  <c r="G134" i="11"/>
  <c r="E134" i="11"/>
  <c r="C134" i="11"/>
  <c r="G133" i="11"/>
  <c r="E133" i="11"/>
  <c r="C133" i="11"/>
  <c r="G132" i="11"/>
  <c r="E132" i="11"/>
  <c r="C132" i="11"/>
  <c r="G131" i="11"/>
  <c r="E131" i="11"/>
  <c r="C131" i="11"/>
  <c r="G130" i="11"/>
  <c r="E130" i="11"/>
  <c r="C130" i="11"/>
  <c r="G129" i="11"/>
  <c r="E129" i="11"/>
  <c r="C129" i="11"/>
  <c r="G128" i="11"/>
  <c r="E128" i="11"/>
  <c r="C128" i="11"/>
  <c r="G127" i="11"/>
  <c r="E127" i="11"/>
  <c r="C127" i="11"/>
  <c r="G126" i="11"/>
  <c r="E126" i="11"/>
  <c r="C126" i="11"/>
  <c r="G125" i="11"/>
  <c r="E125" i="11"/>
  <c r="C125" i="11"/>
  <c r="G124" i="11"/>
  <c r="E124" i="11"/>
  <c r="C124" i="11"/>
  <c r="G123" i="11"/>
  <c r="E123" i="11"/>
  <c r="C123" i="11"/>
  <c r="G122" i="11"/>
  <c r="E122" i="11"/>
  <c r="C122" i="11"/>
  <c r="G121" i="11"/>
  <c r="E121" i="11"/>
  <c r="C121" i="11"/>
  <c r="G120" i="11"/>
  <c r="E120" i="11"/>
  <c r="C120" i="11"/>
  <c r="G119" i="11"/>
  <c r="E119" i="11"/>
  <c r="C119" i="11"/>
  <c r="G118" i="11"/>
  <c r="E118" i="11"/>
  <c r="C118" i="11"/>
  <c r="G117" i="11"/>
  <c r="E117" i="11"/>
  <c r="C117" i="11"/>
  <c r="G116" i="11"/>
  <c r="E116" i="11"/>
  <c r="C116" i="11"/>
  <c r="G115" i="11"/>
  <c r="E115" i="11"/>
  <c r="C115" i="11"/>
  <c r="G114" i="11"/>
  <c r="E114" i="11"/>
  <c r="C114" i="11"/>
  <c r="G113" i="11"/>
  <c r="E113" i="11"/>
  <c r="C113" i="11"/>
  <c r="G112" i="11"/>
  <c r="E112" i="11"/>
  <c r="C112" i="11"/>
  <c r="G111" i="11"/>
  <c r="E111" i="11"/>
  <c r="C111" i="11"/>
  <c r="G110" i="11"/>
  <c r="E110" i="11"/>
  <c r="C110" i="11"/>
  <c r="G109" i="11"/>
  <c r="E109" i="11"/>
  <c r="C109" i="11"/>
  <c r="G108" i="11"/>
  <c r="E108" i="11"/>
  <c r="C108" i="11"/>
  <c r="G107" i="11"/>
  <c r="E107" i="11"/>
  <c r="C107" i="11"/>
  <c r="G106" i="11"/>
  <c r="E106" i="11"/>
  <c r="C106" i="11"/>
  <c r="G105" i="11"/>
  <c r="E105" i="11"/>
  <c r="C105" i="11"/>
  <c r="G104" i="11"/>
  <c r="E104" i="11"/>
  <c r="C104" i="11"/>
  <c r="G103" i="11"/>
  <c r="E103" i="11"/>
  <c r="C103" i="11"/>
  <c r="G102" i="11"/>
  <c r="E102" i="11"/>
  <c r="C102" i="11"/>
  <c r="G101" i="11"/>
  <c r="E101" i="11"/>
  <c r="C101" i="11"/>
  <c r="G100" i="11"/>
  <c r="E100" i="11"/>
  <c r="C100" i="11"/>
  <c r="G99" i="11"/>
  <c r="E99" i="11"/>
  <c r="C99" i="11"/>
  <c r="G98" i="11"/>
  <c r="E98" i="11"/>
  <c r="C98" i="11"/>
  <c r="G97" i="11"/>
  <c r="E97" i="11"/>
  <c r="C97" i="11"/>
  <c r="G96" i="11"/>
  <c r="E96" i="11"/>
  <c r="C96" i="11"/>
  <c r="G95" i="11"/>
  <c r="E95" i="11"/>
  <c r="C95" i="11"/>
  <c r="G94" i="11"/>
  <c r="E94" i="11"/>
  <c r="C94" i="11"/>
  <c r="G93" i="11"/>
  <c r="E93" i="11"/>
  <c r="C93" i="11"/>
  <c r="G92" i="11"/>
  <c r="E92" i="11"/>
  <c r="C92" i="11"/>
  <c r="G91" i="11"/>
  <c r="E91" i="11"/>
  <c r="C91" i="11"/>
  <c r="G90" i="11"/>
  <c r="E90" i="11"/>
  <c r="C90" i="11"/>
  <c r="G89" i="11"/>
  <c r="E89" i="11"/>
  <c r="C89" i="11"/>
  <c r="G88" i="11"/>
  <c r="E88" i="11"/>
  <c r="C88" i="11"/>
  <c r="G87" i="11"/>
  <c r="E87" i="11"/>
  <c r="C87" i="11"/>
  <c r="G86" i="11"/>
  <c r="E86" i="11"/>
  <c r="C86" i="11"/>
  <c r="G85" i="11"/>
  <c r="E85" i="11"/>
  <c r="C85" i="11"/>
  <c r="G84" i="11"/>
  <c r="E84" i="11"/>
  <c r="C84" i="11"/>
  <c r="G83" i="11"/>
  <c r="E83" i="11"/>
  <c r="C83" i="11"/>
  <c r="G82" i="11"/>
  <c r="E82" i="11"/>
  <c r="C82" i="11"/>
  <c r="G81" i="11"/>
  <c r="E81" i="11"/>
  <c r="C81" i="11"/>
  <c r="G80" i="11"/>
  <c r="E80" i="11"/>
  <c r="C80" i="11"/>
  <c r="G79" i="11"/>
  <c r="E79" i="11"/>
  <c r="C79" i="11"/>
  <c r="G78" i="11"/>
  <c r="E78" i="11"/>
  <c r="C78" i="11"/>
  <c r="G77" i="11"/>
  <c r="E77" i="11"/>
  <c r="C77" i="11"/>
  <c r="G76" i="11"/>
  <c r="E76" i="11"/>
  <c r="C76" i="11"/>
  <c r="G75" i="11"/>
  <c r="E75" i="11"/>
  <c r="C75" i="11"/>
  <c r="G74" i="11"/>
  <c r="E74" i="11"/>
  <c r="C74" i="11"/>
  <c r="G73" i="11"/>
  <c r="E73" i="11"/>
  <c r="C73" i="11"/>
  <c r="G72" i="11"/>
  <c r="E72" i="11"/>
  <c r="C72" i="11"/>
  <c r="G71" i="11"/>
  <c r="E71" i="11"/>
  <c r="C71" i="11"/>
  <c r="G70" i="11"/>
  <c r="E70" i="11"/>
  <c r="C70" i="11"/>
  <c r="G69" i="11"/>
  <c r="E69" i="11"/>
  <c r="C69" i="11"/>
  <c r="G68" i="11"/>
  <c r="E68" i="11"/>
  <c r="C68" i="11"/>
  <c r="G67" i="11"/>
  <c r="E67" i="11"/>
  <c r="C67" i="11"/>
  <c r="G66" i="11"/>
  <c r="E66" i="11"/>
  <c r="C66" i="11"/>
  <c r="G65" i="11"/>
  <c r="E65" i="11"/>
  <c r="C65" i="11"/>
  <c r="G64" i="11"/>
  <c r="E64" i="11"/>
  <c r="C64" i="11"/>
  <c r="G63" i="11"/>
  <c r="E63" i="11"/>
  <c r="C63" i="11"/>
  <c r="G62" i="11"/>
  <c r="E62" i="11"/>
  <c r="C62" i="11"/>
  <c r="G61" i="11"/>
  <c r="E61" i="11"/>
  <c r="C61" i="11"/>
  <c r="G60" i="11"/>
  <c r="E60" i="11"/>
  <c r="C60" i="11"/>
  <c r="G59" i="11"/>
  <c r="E59" i="11"/>
  <c r="C59" i="11"/>
  <c r="G58" i="11"/>
  <c r="E58" i="11"/>
  <c r="C58" i="11"/>
  <c r="G57" i="11"/>
  <c r="E57" i="11"/>
  <c r="C57" i="11"/>
  <c r="G56" i="11"/>
  <c r="E56" i="11"/>
  <c r="C56" i="11"/>
  <c r="G55" i="11"/>
  <c r="E55" i="11"/>
  <c r="C55" i="11"/>
  <c r="G54" i="11"/>
  <c r="E54" i="11"/>
  <c r="C54" i="11"/>
  <c r="G53" i="11"/>
  <c r="E53" i="11"/>
  <c r="C53" i="11"/>
  <c r="G52" i="11"/>
  <c r="E52" i="11"/>
  <c r="C52" i="11"/>
  <c r="G51" i="11"/>
  <c r="E51" i="11"/>
  <c r="C51" i="11"/>
  <c r="G50" i="11"/>
  <c r="E50" i="11"/>
  <c r="C50" i="11"/>
  <c r="G49" i="11"/>
  <c r="E49" i="11"/>
  <c r="C49" i="11"/>
  <c r="G48" i="11"/>
  <c r="E48" i="11"/>
  <c r="C48" i="11"/>
  <c r="G47" i="11"/>
  <c r="E47" i="11"/>
  <c r="C47" i="11"/>
  <c r="G46" i="11"/>
  <c r="E46" i="11"/>
  <c r="C46" i="11"/>
  <c r="G45" i="11"/>
  <c r="E45" i="11"/>
  <c r="C45" i="11"/>
  <c r="G44" i="11"/>
  <c r="E44" i="11"/>
  <c r="C44" i="11"/>
  <c r="G43" i="11"/>
  <c r="E43" i="11"/>
  <c r="C43" i="11"/>
  <c r="G42" i="11"/>
  <c r="E42" i="11"/>
  <c r="C42" i="11"/>
  <c r="G41" i="11"/>
  <c r="E41" i="11"/>
  <c r="C41" i="11"/>
  <c r="G40" i="11"/>
  <c r="E40" i="11"/>
  <c r="C40" i="11"/>
  <c r="G39" i="11"/>
  <c r="E39" i="11"/>
  <c r="C39" i="11"/>
  <c r="G38" i="11"/>
  <c r="E38" i="11"/>
  <c r="C38" i="11"/>
  <c r="G37" i="11"/>
  <c r="E37" i="11"/>
  <c r="C37" i="11"/>
  <c r="G36" i="11"/>
  <c r="E36" i="11"/>
  <c r="C36" i="11"/>
  <c r="G35" i="11"/>
  <c r="E35" i="11"/>
  <c r="C35" i="11"/>
  <c r="G34" i="11"/>
  <c r="E34" i="11"/>
  <c r="C34" i="11"/>
  <c r="G33" i="11"/>
  <c r="E33" i="11"/>
  <c r="C33" i="11"/>
  <c r="G32" i="11"/>
  <c r="E32" i="11"/>
  <c r="C32" i="11"/>
  <c r="G31" i="11"/>
  <c r="E31" i="11"/>
  <c r="C31" i="11"/>
  <c r="G30" i="11"/>
  <c r="E30" i="11"/>
  <c r="C30" i="11"/>
  <c r="G29" i="11"/>
  <c r="E29" i="11"/>
  <c r="C29" i="11"/>
  <c r="G28" i="11"/>
  <c r="E28" i="11"/>
  <c r="C28" i="11"/>
  <c r="G27" i="11"/>
  <c r="E27" i="11"/>
  <c r="C27" i="11"/>
  <c r="G26" i="11"/>
  <c r="E26" i="11"/>
  <c r="C26" i="11"/>
  <c r="G25" i="11"/>
  <c r="E25" i="11"/>
  <c r="C25" i="11"/>
  <c r="G24" i="11"/>
  <c r="E24" i="11"/>
  <c r="C24" i="11"/>
  <c r="G23" i="11"/>
  <c r="E23" i="11"/>
  <c r="C23" i="11"/>
  <c r="G22" i="11"/>
  <c r="E22" i="11"/>
  <c r="C22" i="11"/>
  <c r="G21" i="11"/>
  <c r="E21" i="11"/>
  <c r="C21" i="11"/>
  <c r="G20" i="11"/>
  <c r="E20" i="11"/>
  <c r="C20" i="11"/>
  <c r="G19" i="11"/>
  <c r="E19" i="11"/>
  <c r="C19" i="11"/>
  <c r="G18" i="11"/>
  <c r="E18" i="11"/>
  <c r="C18" i="11"/>
  <c r="G17" i="11"/>
  <c r="E17" i="11"/>
  <c r="C17" i="11"/>
  <c r="G16" i="11"/>
  <c r="E16" i="11"/>
  <c r="C16" i="11"/>
  <c r="G15" i="11"/>
  <c r="E15" i="11"/>
  <c r="C15" i="11"/>
  <c r="G14" i="11"/>
  <c r="E14" i="11"/>
  <c r="C14" i="11"/>
  <c r="G13" i="11"/>
  <c r="E13" i="11"/>
  <c r="C13" i="11"/>
  <c r="G12" i="11"/>
  <c r="E12" i="11"/>
  <c r="C12" i="11"/>
  <c r="G11" i="11"/>
  <c r="E11" i="11"/>
  <c r="C11" i="11"/>
  <c r="G10" i="11"/>
  <c r="E10" i="11"/>
  <c r="C10" i="11"/>
  <c r="G9" i="11"/>
  <c r="E9" i="11"/>
  <c r="C9" i="11"/>
  <c r="G8" i="11"/>
  <c r="E8" i="11"/>
  <c r="C8" i="11"/>
  <c r="G7" i="11"/>
  <c r="E7" i="11"/>
  <c r="C7" i="11"/>
  <c r="G6" i="11"/>
  <c r="E6" i="11"/>
  <c r="C6" i="11"/>
  <c r="G5" i="11"/>
  <c r="E5" i="11"/>
  <c r="C5" i="11"/>
  <c r="G4" i="11"/>
  <c r="E4" i="11"/>
  <c r="C4" i="11"/>
  <c r="G3" i="11"/>
  <c r="E3" i="11"/>
  <c r="C3" i="11"/>
  <c r="G2" i="11"/>
  <c r="E2" i="11"/>
  <c r="C2" i="11"/>
  <c r="AA50" i="10" l="1"/>
  <c r="AA2" i="10"/>
  <c r="AA10" i="10"/>
  <c r="AA48" i="10"/>
  <c r="AA9" i="10"/>
  <c r="AA49" i="10"/>
  <c r="AA8" i="10"/>
  <c r="AA12" i="10"/>
  <c r="AA14" i="10"/>
  <c r="AA16" i="10"/>
  <c r="AA18" i="10"/>
  <c r="AA20" i="10"/>
  <c r="AA22" i="10"/>
  <c r="AA24" i="10"/>
  <c r="AA25" i="10"/>
  <c r="AA27" i="10"/>
  <c r="AA29" i="10"/>
  <c r="AA31" i="10"/>
  <c r="AA33" i="10"/>
  <c r="AA35" i="10"/>
  <c r="AA38" i="10"/>
  <c r="AA40" i="10"/>
  <c r="AA42" i="10"/>
  <c r="AA44" i="10"/>
  <c r="AA46" i="10"/>
  <c r="AA47" i="10"/>
  <c r="AA4" i="10"/>
  <c r="AA3" i="10"/>
  <c r="AA11" i="10"/>
  <c r="AA13" i="10"/>
  <c r="AA15" i="10"/>
  <c r="AA17" i="10"/>
  <c r="AA19" i="10"/>
  <c r="AA21" i="10"/>
  <c r="AA23" i="10"/>
  <c r="AA26" i="10"/>
  <c r="AA28" i="10"/>
  <c r="AA30" i="10"/>
  <c r="AA32" i="10"/>
  <c r="AA34" i="10"/>
  <c r="AA36" i="10"/>
  <c r="AA37" i="10"/>
  <c r="AA39" i="10"/>
  <c r="AA41" i="10"/>
  <c r="AA43" i="10"/>
  <c r="AA45" i="10"/>
  <c r="AA5" i="10"/>
  <c r="AA6" i="10"/>
  <c r="AA52" i="10"/>
  <c r="AA7" i="10"/>
  <c r="AA51" i="10"/>
  <c r="AH47" i="10"/>
  <c r="O229" i="11" l="1"/>
  <c r="P229" i="11" l="1"/>
  <c r="F227" i="11" l="1"/>
  <c r="H227" i="11"/>
  <c r="D227" i="11"/>
  <c r="F226" i="11"/>
  <c r="H226" i="11"/>
  <c r="D226" i="11"/>
  <c r="F225" i="11"/>
  <c r="H225" i="11"/>
  <c r="D225" i="11"/>
  <c r="F224" i="11"/>
  <c r="H224" i="11"/>
  <c r="D224" i="11"/>
  <c r="F223" i="11"/>
  <c r="H223" i="11"/>
  <c r="D223" i="11"/>
  <c r="E52" i="10"/>
  <c r="F52" i="10"/>
  <c r="AE52" i="10"/>
  <c r="AG52" i="10"/>
  <c r="C52" i="10"/>
  <c r="I227" i="11" l="1"/>
  <c r="J227" i="11" s="1"/>
  <c r="M227" i="11"/>
  <c r="N227" i="11" s="1"/>
  <c r="M226" i="11"/>
  <c r="N226" i="11" s="1"/>
  <c r="I226" i="11"/>
  <c r="J226" i="11" s="1"/>
  <c r="I225" i="11"/>
  <c r="J225" i="11" s="1"/>
  <c r="M225" i="11"/>
  <c r="N225" i="11" s="1"/>
  <c r="I224" i="11"/>
  <c r="J224" i="11" s="1"/>
  <c r="M224" i="11"/>
  <c r="N224" i="11" s="1"/>
  <c r="I223" i="11"/>
  <c r="J223" i="11" s="1"/>
  <c r="M223" i="11"/>
  <c r="N223" i="11" s="1"/>
  <c r="M52" i="10"/>
  <c r="N52" i="10" s="1"/>
  <c r="J52" i="10"/>
  <c r="I52" i="10"/>
  <c r="O226" i="11" l="1"/>
  <c r="P226" i="11" s="1"/>
  <c r="AK2" i="10" l="1"/>
  <c r="AK3" i="10"/>
  <c r="AK4" i="10"/>
  <c r="AK5" i="10"/>
  <c r="AK6" i="10"/>
  <c r="AK7" i="10"/>
  <c r="AK8" i="10"/>
  <c r="AK9" i="10"/>
  <c r="AK10" i="10"/>
  <c r="AK11" i="10"/>
  <c r="AK12" i="10"/>
  <c r="AK13" i="10"/>
  <c r="AK14" i="10"/>
  <c r="AK15" i="10"/>
  <c r="AK16" i="10"/>
  <c r="AK17" i="10"/>
  <c r="AK18" i="10"/>
  <c r="AK19" i="10"/>
  <c r="AK20" i="10"/>
  <c r="AK21" i="10"/>
  <c r="AK22" i="10"/>
  <c r="AK23" i="10"/>
  <c r="AK24" i="10"/>
  <c r="AK25" i="10"/>
  <c r="AI2" i="10"/>
  <c r="AI3" i="10"/>
  <c r="AI4" i="10"/>
  <c r="AI5" i="10"/>
  <c r="AI6" i="10"/>
  <c r="AI7" i="10"/>
  <c r="AI8" i="10"/>
  <c r="AI9" i="10"/>
  <c r="AI10" i="10"/>
  <c r="AI11" i="10"/>
  <c r="AI12" i="10"/>
  <c r="AI13" i="10"/>
  <c r="AI14"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G2" i="10"/>
  <c r="AG3" i="10"/>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I38" i="10"/>
  <c r="AI39" i="10"/>
  <c r="AI40" i="10"/>
  <c r="AI41" i="10"/>
  <c r="AI42" i="10"/>
  <c r="AI43" i="10"/>
  <c r="AI44" i="10"/>
  <c r="AI45" i="10"/>
  <c r="AI46" i="10"/>
  <c r="AI47" i="10"/>
  <c r="AE2" i="10"/>
  <c r="AE3" i="10"/>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G38" i="10"/>
  <c r="AG39" i="10"/>
  <c r="AG40" i="10"/>
  <c r="AG41" i="10"/>
  <c r="AG42" i="10"/>
  <c r="AG43" i="10"/>
  <c r="AG44" i="10"/>
  <c r="AG45" i="10"/>
  <c r="AG46" i="10"/>
  <c r="AG47" i="10"/>
  <c r="AG48" i="10"/>
  <c r="AG49" i="10"/>
  <c r="AG50" i="10"/>
  <c r="AG51" i="10"/>
  <c r="AE38" i="10" l="1"/>
  <c r="AE39" i="10"/>
  <c r="AE40" i="10"/>
  <c r="AE41" i="10"/>
  <c r="AE42" i="10"/>
  <c r="AE43" i="10"/>
  <c r="AE44" i="10"/>
  <c r="AE45" i="10"/>
  <c r="AE46" i="10"/>
  <c r="AE47" i="10"/>
  <c r="AE48" i="10"/>
  <c r="AE49" i="10"/>
  <c r="AE50" i="10"/>
  <c r="AE51" i="10"/>
  <c r="O223" i="11" l="1"/>
  <c r="P223" i="11" s="1"/>
  <c r="O224" i="11" l="1"/>
  <c r="P224" i="11" l="1"/>
  <c r="AJ52" i="10" l="1"/>
  <c r="O227" i="11"/>
  <c r="P227" i="11" s="1"/>
  <c r="O230" i="11"/>
  <c r="P230" i="11" s="1"/>
  <c r="O228" i="11" l="1"/>
  <c r="P228" i="11" s="1"/>
  <c r="O53" i="10"/>
  <c r="P53" i="10" s="1"/>
  <c r="AH52" i="10"/>
  <c r="AI52" i="10" s="1"/>
  <c r="O225" i="11"/>
  <c r="O52" i="10"/>
  <c r="P52" i="10" l="1"/>
  <c r="P225" i="11"/>
  <c r="O222" i="11"/>
  <c r="AP186" i="2" l="1"/>
  <c r="AB186" i="2"/>
  <c r="M186" i="2"/>
  <c r="O233" i="11"/>
  <c r="AH54" i="10"/>
  <c r="AI54" i="10" s="1"/>
  <c r="AH53" i="10" l="1"/>
  <c r="AI53" i="10" s="1"/>
  <c r="P233" i="11"/>
  <c r="O54" i="10"/>
  <c r="E51" i="10"/>
  <c r="F51" i="10"/>
  <c r="C51" i="10"/>
  <c r="F222" i="11"/>
  <c r="H222" i="11"/>
  <c r="F221" i="11"/>
  <c r="H221" i="11"/>
  <c r="F220" i="11"/>
  <c r="H220" i="11"/>
  <c r="F219" i="11"/>
  <c r="H219" i="11"/>
  <c r="D219" i="11"/>
  <c r="P54" i="10" l="1"/>
  <c r="M222" i="11"/>
  <c r="N222" i="11" s="1"/>
  <c r="M221" i="11"/>
  <c r="N221" i="11" s="1"/>
  <c r="I220" i="11"/>
  <c r="J220" i="11" s="1"/>
  <c r="M51" i="10"/>
  <c r="N51" i="10" s="1"/>
  <c r="J51" i="10"/>
  <c r="I51" i="10"/>
  <c r="D220" i="11"/>
  <c r="M220" i="11"/>
  <c r="N220" i="11" s="1"/>
  <c r="I221" i="11"/>
  <c r="J221" i="11" s="1"/>
  <c r="D222" i="11"/>
  <c r="D221" i="11"/>
  <c r="M219" i="11"/>
  <c r="N219" i="11" s="1"/>
  <c r="I219" i="11"/>
  <c r="J219" i="11" s="1"/>
  <c r="I222" i="11"/>
  <c r="J222" i="11" s="1"/>
  <c r="P222" i="11"/>
  <c r="O221" i="11"/>
  <c r="P221" i="11" l="1"/>
  <c r="Q2" i="11" l="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R2" i="11"/>
  <c r="R3" i="11"/>
  <c r="R4" i="11"/>
  <c r="R5" i="1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R140" i="11"/>
  <c r="R141" i="11"/>
  <c r="R142" i="11"/>
  <c r="R143" i="11"/>
  <c r="R144" i="11"/>
  <c r="R145" i="11"/>
  <c r="R146" i="11"/>
  <c r="R147" i="11"/>
  <c r="R148" i="11"/>
  <c r="R149" i="11"/>
  <c r="R150" i="11"/>
  <c r="R151" i="11"/>
  <c r="R152" i="11"/>
  <c r="R153" i="11"/>
  <c r="R154" i="11"/>
  <c r="R155" i="11"/>
  <c r="R156" i="11"/>
  <c r="R157" i="11"/>
  <c r="R158" i="11"/>
  <c r="R159" i="11"/>
  <c r="R160"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U3" i="11"/>
  <c r="U4" i="11"/>
  <c r="U5" i="11"/>
  <c r="U6" i="11"/>
  <c r="U7" i="11"/>
  <c r="U8" i="11"/>
  <c r="U9" i="11"/>
  <c r="U10" i="11"/>
  <c r="U11" i="11"/>
  <c r="U12" i="11"/>
  <c r="U13" i="11"/>
  <c r="U14" i="11"/>
  <c r="U15" i="11"/>
  <c r="U16" i="11"/>
  <c r="U17" i="11"/>
  <c r="U18" i="11"/>
  <c r="U19" i="11"/>
  <c r="U20" i="11"/>
  <c r="U21" i="11"/>
  <c r="U22" i="11"/>
  <c r="U23" i="11"/>
  <c r="U24" i="11"/>
  <c r="U25" i="11"/>
  <c r="U26" i="11"/>
  <c r="U27" i="11"/>
  <c r="U28" i="11"/>
  <c r="U29" i="11"/>
  <c r="U30" i="11"/>
  <c r="U31" i="11"/>
  <c r="U32" i="11"/>
  <c r="U33" i="11"/>
  <c r="U34" i="11"/>
  <c r="U35" i="11"/>
  <c r="U36" i="11"/>
  <c r="U37" i="11"/>
  <c r="U38" i="11"/>
  <c r="U39" i="11"/>
  <c r="U40" i="11"/>
  <c r="U41" i="11"/>
  <c r="U42" i="11"/>
  <c r="U43" i="11"/>
  <c r="U44" i="11"/>
  <c r="U45" i="11"/>
  <c r="U46" i="11"/>
  <c r="U47" i="11"/>
  <c r="U48" i="11"/>
  <c r="U49" i="11"/>
  <c r="U50" i="11"/>
  <c r="U51" i="11"/>
  <c r="U52" i="11"/>
  <c r="U53" i="11"/>
  <c r="U54" i="11"/>
  <c r="U2" i="11"/>
  <c r="T2" i="11"/>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1" i="11"/>
  <c r="T132" i="11"/>
  <c r="T133" i="11"/>
  <c r="T134" i="11"/>
  <c r="T135" i="11"/>
  <c r="T136" i="11"/>
  <c r="T137" i="11"/>
  <c r="T138" i="11"/>
  <c r="T139" i="11"/>
  <c r="T140" i="11"/>
  <c r="T141" i="11"/>
  <c r="T142" i="11"/>
  <c r="T143" i="11"/>
  <c r="T144" i="11"/>
  <c r="T145" i="11"/>
  <c r="T146" i="11"/>
  <c r="T147" i="11"/>
  <c r="T148" i="11"/>
  <c r="T149" i="11"/>
  <c r="T150" i="11"/>
  <c r="T151" i="11"/>
  <c r="T152" i="11"/>
  <c r="T153" i="11"/>
  <c r="T154" i="11"/>
  <c r="T155" i="11"/>
  <c r="T156" i="11"/>
  <c r="T157" i="11"/>
  <c r="T158" i="11"/>
  <c r="T159" i="11"/>
  <c r="T160" i="11"/>
  <c r="O219" i="11" l="1"/>
  <c r="P219" i="11" l="1"/>
  <c r="F214" i="11" l="1"/>
  <c r="D217" i="11"/>
  <c r="F217" i="11"/>
  <c r="H217" i="11"/>
  <c r="D218" i="11"/>
  <c r="F218" i="11"/>
  <c r="H218" i="11"/>
  <c r="M214" i="11"/>
  <c r="N214" i="11" s="1"/>
  <c r="F215" i="11"/>
  <c r="M215" i="11"/>
  <c r="N215" i="11" s="1"/>
  <c r="H216" i="11"/>
  <c r="H214" i="11"/>
  <c r="H215" i="11"/>
  <c r="F216" i="11"/>
  <c r="R2" i="10"/>
  <c r="R3" i="10"/>
  <c r="R4" i="10"/>
  <c r="R5" i="10"/>
  <c r="R6" i="10"/>
  <c r="R7" i="10"/>
  <c r="R8" i="10"/>
  <c r="R9" i="10"/>
  <c r="R10" i="10"/>
  <c r="R11" i="10"/>
  <c r="R12" i="10"/>
  <c r="R13" i="10"/>
  <c r="R14" i="10"/>
  <c r="R15" i="10"/>
  <c r="R16" i="10"/>
  <c r="R17" i="10"/>
  <c r="R18" i="10"/>
  <c r="R19" i="10"/>
  <c r="R20" i="10"/>
  <c r="R21" i="10"/>
  <c r="R22" i="10"/>
  <c r="R23" i="10"/>
  <c r="R24" i="10"/>
  <c r="R25" i="10"/>
  <c r="Q3" i="10"/>
  <c r="Q4" i="10"/>
  <c r="Q5" i="10"/>
  <c r="Q6" i="10"/>
  <c r="Q7" i="10"/>
  <c r="Q8" i="10"/>
  <c r="Q9" i="10"/>
  <c r="Q10" i="10"/>
  <c r="Q11" i="10"/>
  <c r="Q12" i="10"/>
  <c r="Q13" i="10"/>
  <c r="Q2" i="10"/>
  <c r="V2" i="10"/>
  <c r="V3" i="10"/>
  <c r="V4" i="10"/>
  <c r="V5" i="10"/>
  <c r="V6" i="10"/>
  <c r="V7" i="10"/>
  <c r="V8" i="10"/>
  <c r="V9" i="10"/>
  <c r="V10" i="10"/>
  <c r="V11" i="10"/>
  <c r="V12" i="10"/>
  <c r="V13" i="10"/>
  <c r="V14" i="10"/>
  <c r="V15" i="10"/>
  <c r="V16" i="10"/>
  <c r="V17" i="10"/>
  <c r="V18" i="10"/>
  <c r="V19" i="10"/>
  <c r="V20" i="10"/>
  <c r="V21" i="10"/>
  <c r="V22" i="10"/>
  <c r="V23" i="10"/>
  <c r="V24" i="10"/>
  <c r="V25" i="10"/>
  <c r="U3" i="10"/>
  <c r="U4" i="10"/>
  <c r="U5" i="10"/>
  <c r="U6" i="10"/>
  <c r="U7" i="10"/>
  <c r="U8" i="10"/>
  <c r="U9" i="10"/>
  <c r="U10" i="10"/>
  <c r="U11" i="10"/>
  <c r="U12" i="10"/>
  <c r="U13" i="10"/>
  <c r="U2" i="10"/>
  <c r="T2" i="10"/>
  <c r="T3" i="10"/>
  <c r="T4" i="10"/>
  <c r="T5" i="10"/>
  <c r="T6" i="10"/>
  <c r="T7" i="10"/>
  <c r="T8" i="10"/>
  <c r="T9" i="10"/>
  <c r="T10" i="10"/>
  <c r="T11" i="10"/>
  <c r="T12" i="10"/>
  <c r="T13" i="10"/>
  <c r="T14" i="10"/>
  <c r="T15" i="10"/>
  <c r="T16" i="10"/>
  <c r="T17" i="10"/>
  <c r="T18" i="10"/>
  <c r="T19" i="10"/>
  <c r="T20" i="10"/>
  <c r="T21" i="10"/>
  <c r="T22" i="10"/>
  <c r="T23" i="10"/>
  <c r="T24" i="10"/>
  <c r="T25" i="10"/>
  <c r="C50" i="10"/>
  <c r="E50" i="10"/>
  <c r="F50" i="10"/>
  <c r="D215" i="11" l="1"/>
  <c r="I216" i="11"/>
  <c r="J216" i="11" s="1"/>
  <c r="D214" i="11"/>
  <c r="I217" i="11"/>
  <c r="J217" i="11" s="1"/>
  <c r="I218" i="11"/>
  <c r="J218" i="11" s="1"/>
  <c r="I214" i="11"/>
  <c r="J214" i="11" s="1"/>
  <c r="M216" i="11"/>
  <c r="N216" i="11" s="1"/>
  <c r="D216" i="11"/>
  <c r="M217" i="11"/>
  <c r="N217" i="11" s="1"/>
  <c r="I215" i="11"/>
  <c r="J215" i="11" s="1"/>
  <c r="M218" i="11"/>
  <c r="N218" i="11" s="1"/>
  <c r="J50" i="10"/>
  <c r="I50" i="10"/>
  <c r="M50" i="10"/>
  <c r="N50" i="10" s="1"/>
  <c r="O218" i="11" l="1"/>
  <c r="P218" i="11" l="1"/>
  <c r="H56" i="11" l="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55"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2" i="11"/>
  <c r="F15" i="10"/>
  <c r="F16" i="10"/>
  <c r="F17" i="10"/>
  <c r="F18" i="10"/>
  <c r="F19" i="10"/>
  <c r="F20" i="10"/>
  <c r="F21" i="10"/>
  <c r="F22" i="10"/>
  <c r="F23" i="10"/>
  <c r="F24" i="10"/>
  <c r="F25" i="10"/>
  <c r="F14" i="10"/>
  <c r="F3" i="10"/>
  <c r="F4" i="10"/>
  <c r="F5" i="10"/>
  <c r="F6" i="10"/>
  <c r="F7" i="10"/>
  <c r="F8" i="10"/>
  <c r="F9" i="10"/>
  <c r="F10" i="10"/>
  <c r="F11" i="10"/>
  <c r="F12" i="10"/>
  <c r="F13" i="10"/>
  <c r="F2" i="10"/>
  <c r="F26" i="10"/>
  <c r="F31" i="10"/>
  <c r="F32" i="10"/>
  <c r="F33" i="10"/>
  <c r="F34" i="10"/>
  <c r="F38" i="10"/>
  <c r="F39" i="10"/>
  <c r="F40" i="10"/>
  <c r="F41" i="10"/>
  <c r="F42" i="10"/>
  <c r="F47" i="10"/>
  <c r="F48" i="10"/>
  <c r="F49" i="10"/>
  <c r="F30" i="10" l="1"/>
  <c r="F46" i="10"/>
  <c r="F37" i="10"/>
  <c r="F29" i="10"/>
  <c r="F45" i="10"/>
  <c r="F36" i="10"/>
  <c r="F28" i="10"/>
  <c r="F44" i="10"/>
  <c r="F35" i="10"/>
  <c r="F27" i="10"/>
  <c r="F43" i="10"/>
  <c r="P56" i="11" l="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55"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2" i="11"/>
  <c r="F213" i="11"/>
  <c r="H213" i="11"/>
  <c r="D213" i="11"/>
  <c r="F212" i="11"/>
  <c r="H212" i="11"/>
  <c r="F211" i="11"/>
  <c r="H211" i="11"/>
  <c r="D211" i="11"/>
  <c r="F210" i="11"/>
  <c r="H210" i="11"/>
  <c r="D210" i="11"/>
  <c r="F209" i="11"/>
  <c r="H209" i="11"/>
  <c r="D209" i="11"/>
  <c r="F208" i="11"/>
  <c r="H208" i="11"/>
  <c r="D208" i="11"/>
  <c r="F207" i="11"/>
  <c r="H207" i="11"/>
  <c r="D207" i="11"/>
  <c r="F206" i="11"/>
  <c r="H206" i="11"/>
  <c r="D206" i="11"/>
  <c r="F205" i="11"/>
  <c r="H205" i="11"/>
  <c r="D205" i="11"/>
  <c r="F204" i="11"/>
  <c r="H204" i="11"/>
  <c r="F203" i="11"/>
  <c r="H203" i="11"/>
  <c r="D203" i="11"/>
  <c r="P213" i="11" l="1"/>
  <c r="I212" i="11"/>
  <c r="J212" i="11" s="1"/>
  <c r="I204" i="11"/>
  <c r="J204" i="11" s="1"/>
  <c r="I209" i="11"/>
  <c r="J209" i="11" s="1"/>
  <c r="M213" i="11"/>
  <c r="N213" i="11" s="1"/>
  <c r="M205" i="11"/>
  <c r="N205" i="11" s="1"/>
  <c r="I208" i="11"/>
  <c r="J208" i="11" s="1"/>
  <c r="M212" i="11"/>
  <c r="N212" i="11" s="1"/>
  <c r="M204" i="11"/>
  <c r="N204" i="11" s="1"/>
  <c r="D212" i="11"/>
  <c r="I207" i="11"/>
  <c r="J207" i="11" s="1"/>
  <c r="M211" i="11"/>
  <c r="N211" i="11" s="1"/>
  <c r="M203" i="11"/>
  <c r="N203" i="11" s="1"/>
  <c r="D204" i="11"/>
  <c r="I206" i="11"/>
  <c r="J206" i="11" s="1"/>
  <c r="M210" i="11"/>
  <c r="N210" i="11" s="1"/>
  <c r="I213" i="11"/>
  <c r="J213" i="11" s="1"/>
  <c r="I205" i="11"/>
  <c r="J205" i="11" s="1"/>
  <c r="M209" i="11"/>
  <c r="N209" i="11" s="1"/>
  <c r="M208" i="11"/>
  <c r="N208" i="11" s="1"/>
  <c r="I211" i="11"/>
  <c r="J211" i="11" s="1"/>
  <c r="I203" i="11"/>
  <c r="J203" i="11" s="1"/>
  <c r="M207" i="11"/>
  <c r="N207" i="11" s="1"/>
  <c r="I210" i="11"/>
  <c r="J210" i="11" s="1"/>
  <c r="M206" i="11"/>
  <c r="N206" i="11" s="1"/>
  <c r="F202" i="11"/>
  <c r="H202" i="11"/>
  <c r="F201" i="11"/>
  <c r="H201" i="11"/>
  <c r="F200" i="11"/>
  <c r="H200" i="11"/>
  <c r="F199" i="11"/>
  <c r="H199" i="11"/>
  <c r="F198" i="11"/>
  <c r="H198" i="11"/>
  <c r="F197" i="11"/>
  <c r="H197" i="11"/>
  <c r="F196" i="11"/>
  <c r="H196" i="11"/>
  <c r="F195" i="11"/>
  <c r="H195" i="11"/>
  <c r="F194" i="11"/>
  <c r="H194" i="11"/>
  <c r="F193" i="11"/>
  <c r="H193" i="11"/>
  <c r="F192" i="11"/>
  <c r="H192" i="11"/>
  <c r="F191" i="11"/>
  <c r="H191" i="11"/>
  <c r="F190" i="11"/>
  <c r="H190" i="11"/>
  <c r="F189" i="11"/>
  <c r="H189" i="11"/>
  <c r="F188" i="11"/>
  <c r="H188" i="11"/>
  <c r="F187" i="11"/>
  <c r="H187" i="11"/>
  <c r="F186" i="11"/>
  <c r="H186" i="11"/>
  <c r="F185" i="11"/>
  <c r="H185" i="11"/>
  <c r="F184" i="11"/>
  <c r="H184" i="11"/>
  <c r="F183" i="11"/>
  <c r="H183" i="11"/>
  <c r="F182" i="11"/>
  <c r="H182" i="11"/>
  <c r="F181" i="11"/>
  <c r="H181" i="11"/>
  <c r="F180" i="11"/>
  <c r="H180" i="11"/>
  <c r="F179" i="11"/>
  <c r="H179" i="11"/>
  <c r="F178" i="11"/>
  <c r="H178" i="11"/>
  <c r="F177" i="11"/>
  <c r="H177" i="11"/>
  <c r="F176" i="11"/>
  <c r="H176" i="11"/>
  <c r="F175" i="11"/>
  <c r="H175" i="11"/>
  <c r="F174" i="11"/>
  <c r="H174" i="11"/>
  <c r="F173" i="11"/>
  <c r="H173" i="11"/>
  <c r="F172" i="11"/>
  <c r="H172" i="11"/>
  <c r="F171" i="11"/>
  <c r="H171" i="11"/>
  <c r="F170" i="11"/>
  <c r="H170" i="11"/>
  <c r="F169" i="11"/>
  <c r="H169" i="11"/>
  <c r="F168" i="11"/>
  <c r="H168" i="11"/>
  <c r="F167" i="11"/>
  <c r="H167" i="11"/>
  <c r="F166" i="11"/>
  <c r="H166" i="11"/>
  <c r="F165" i="11"/>
  <c r="H165" i="11"/>
  <c r="F164" i="11"/>
  <c r="H164" i="11"/>
  <c r="F163" i="11"/>
  <c r="H163" i="11"/>
  <c r="F162" i="11"/>
  <c r="H162" i="11"/>
  <c r="F161" i="11"/>
  <c r="H161" i="11"/>
  <c r="F160" i="11"/>
  <c r="H160" i="11"/>
  <c r="F159" i="11"/>
  <c r="H159" i="11"/>
  <c r="F158" i="11"/>
  <c r="H158" i="11"/>
  <c r="F157" i="11"/>
  <c r="H157" i="11"/>
  <c r="F156" i="11"/>
  <c r="H156" i="11"/>
  <c r="F155" i="11"/>
  <c r="H155" i="11"/>
  <c r="F154" i="11"/>
  <c r="H154" i="11"/>
  <c r="F153" i="11"/>
  <c r="H153" i="11"/>
  <c r="F152" i="11"/>
  <c r="H152" i="11"/>
  <c r="F151" i="11"/>
  <c r="H151" i="11"/>
  <c r="F150" i="11"/>
  <c r="H150" i="11"/>
  <c r="F149" i="11"/>
  <c r="H149" i="11"/>
  <c r="F148" i="11"/>
  <c r="H148" i="11"/>
  <c r="F147" i="11"/>
  <c r="H147" i="11"/>
  <c r="F146" i="11"/>
  <c r="H146" i="11"/>
  <c r="F145" i="11"/>
  <c r="H145" i="11"/>
  <c r="F144" i="11"/>
  <c r="H144" i="11"/>
  <c r="F143" i="11"/>
  <c r="H143" i="11"/>
  <c r="F142" i="11"/>
  <c r="H142" i="11"/>
  <c r="F141" i="11"/>
  <c r="H141" i="11"/>
  <c r="F140" i="11"/>
  <c r="H140" i="11"/>
  <c r="F139" i="11"/>
  <c r="H139" i="11"/>
  <c r="F138" i="11"/>
  <c r="H138" i="11"/>
  <c r="F137" i="11"/>
  <c r="H137" i="11"/>
  <c r="F136" i="11"/>
  <c r="H136" i="11"/>
  <c r="F135" i="11"/>
  <c r="H135" i="11"/>
  <c r="F134" i="11"/>
  <c r="H134" i="11"/>
  <c r="F133" i="11"/>
  <c r="H133" i="11"/>
  <c r="F132" i="11"/>
  <c r="H132" i="11"/>
  <c r="F131" i="11"/>
  <c r="H131" i="11"/>
  <c r="F130" i="11"/>
  <c r="H130" i="11"/>
  <c r="F129" i="11"/>
  <c r="H129" i="11"/>
  <c r="F128" i="11"/>
  <c r="H128" i="11"/>
  <c r="F127" i="11"/>
  <c r="H127" i="11"/>
  <c r="F126" i="11"/>
  <c r="H126" i="11"/>
  <c r="F125" i="11"/>
  <c r="H125" i="11"/>
  <c r="F124" i="11"/>
  <c r="H124" i="11"/>
  <c r="F123" i="11"/>
  <c r="H123" i="11"/>
  <c r="F122" i="11"/>
  <c r="H122" i="11"/>
  <c r="F121" i="11"/>
  <c r="H121" i="11"/>
  <c r="F120" i="11"/>
  <c r="H120" i="11"/>
  <c r="F119" i="11"/>
  <c r="H119" i="11"/>
  <c r="F118" i="11"/>
  <c r="H118" i="11"/>
  <c r="F117" i="11"/>
  <c r="H117" i="11"/>
  <c r="F116" i="11"/>
  <c r="H116" i="11"/>
  <c r="F115" i="11"/>
  <c r="H115" i="11"/>
  <c r="F114" i="11"/>
  <c r="H114" i="11"/>
  <c r="F113" i="11"/>
  <c r="H113" i="11"/>
  <c r="F112" i="11"/>
  <c r="H112" i="11"/>
  <c r="F111" i="11"/>
  <c r="H111" i="11"/>
  <c r="F110" i="11"/>
  <c r="H110" i="11"/>
  <c r="F109" i="11"/>
  <c r="H109" i="11"/>
  <c r="F108" i="11"/>
  <c r="H108" i="11"/>
  <c r="F52" i="11"/>
  <c r="F54" i="11"/>
  <c r="F53"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9" i="11"/>
  <c r="F10" i="11"/>
  <c r="F8" i="11"/>
  <c r="F7" i="11"/>
  <c r="F6" i="11"/>
  <c r="F5" i="11"/>
  <c r="F4" i="11"/>
  <c r="F3" i="11"/>
  <c r="F2" i="11"/>
  <c r="P2" i="10"/>
  <c r="P3" i="10"/>
  <c r="P4" i="10"/>
  <c r="P5" i="10"/>
  <c r="P6" i="10"/>
  <c r="P7" i="10"/>
  <c r="P8" i="10"/>
  <c r="P9" i="10"/>
  <c r="P10" i="10"/>
  <c r="P11" i="10"/>
  <c r="P12" i="10"/>
  <c r="P13" i="10"/>
  <c r="P14" i="10"/>
  <c r="P15" i="10"/>
  <c r="P16" i="10"/>
  <c r="P17" i="10"/>
  <c r="P18" i="10"/>
  <c r="P19" i="10"/>
  <c r="P20" i="10"/>
  <c r="P21" i="10"/>
  <c r="P22" i="10"/>
  <c r="P23" i="10"/>
  <c r="P24" i="10"/>
  <c r="P25" i="10"/>
  <c r="N15" i="10"/>
  <c r="N16" i="10"/>
  <c r="N17" i="10"/>
  <c r="N18" i="10"/>
  <c r="N19" i="10"/>
  <c r="N20" i="10"/>
  <c r="N21" i="10"/>
  <c r="N22" i="10"/>
  <c r="N23" i="10"/>
  <c r="N24" i="10"/>
  <c r="N25" i="10"/>
  <c r="N14" i="10"/>
  <c r="N3" i="10"/>
  <c r="N4" i="10"/>
  <c r="N5" i="10"/>
  <c r="N6" i="10"/>
  <c r="N7" i="10"/>
  <c r="N8" i="10"/>
  <c r="N9" i="10"/>
  <c r="N10" i="10"/>
  <c r="N11" i="10"/>
  <c r="N12" i="10"/>
  <c r="N13" i="10"/>
  <c r="N2" i="10"/>
  <c r="S55" i="11" l="1"/>
  <c r="Q55" i="11"/>
  <c r="Q160" i="11"/>
  <c r="Q213" i="11"/>
  <c r="R213" i="11" s="1"/>
  <c r="P160" i="11"/>
  <c r="P2" i="11"/>
  <c r="S2" i="11"/>
  <c r="D31" i="11"/>
  <c r="M31" i="11"/>
  <c r="I31" i="11"/>
  <c r="D11" i="11"/>
  <c r="I11" i="11"/>
  <c r="M11" i="11"/>
  <c r="D33" i="11"/>
  <c r="M33" i="11"/>
  <c r="I33" i="11"/>
  <c r="D52" i="11"/>
  <c r="M52" i="11"/>
  <c r="I52" i="11"/>
  <c r="M111" i="11"/>
  <c r="N111" i="11" s="1"/>
  <c r="D111" i="11"/>
  <c r="I111" i="11"/>
  <c r="J111" i="11" s="1"/>
  <c r="M119" i="11"/>
  <c r="N119" i="11" s="1"/>
  <c r="D119" i="11"/>
  <c r="I119" i="11"/>
  <c r="J119" i="11" s="1"/>
  <c r="M135" i="11"/>
  <c r="N135" i="11" s="1"/>
  <c r="D135" i="11"/>
  <c r="I135" i="11"/>
  <c r="J135" i="11" s="1"/>
  <c r="M151" i="11"/>
  <c r="N151" i="11" s="1"/>
  <c r="D151" i="11"/>
  <c r="I151" i="11"/>
  <c r="J151" i="11" s="1"/>
  <c r="M159" i="11"/>
  <c r="N159" i="11" s="1"/>
  <c r="D159" i="11"/>
  <c r="I159" i="11"/>
  <c r="J159" i="11" s="1"/>
  <c r="D162" i="11"/>
  <c r="I162" i="11"/>
  <c r="J162" i="11" s="1"/>
  <c r="M162" i="11"/>
  <c r="N162" i="11" s="1"/>
  <c r="D172" i="11"/>
  <c r="I172" i="11"/>
  <c r="J172" i="11" s="1"/>
  <c r="M172" i="11"/>
  <c r="N172" i="11" s="1"/>
  <c r="D176" i="11"/>
  <c r="M176" i="11"/>
  <c r="N176" i="11" s="1"/>
  <c r="I176" i="11"/>
  <c r="J176" i="11" s="1"/>
  <c r="D180" i="11"/>
  <c r="I180" i="11"/>
  <c r="J180" i="11" s="1"/>
  <c r="M180" i="11"/>
  <c r="N180" i="11" s="1"/>
  <c r="D184" i="11"/>
  <c r="M184" i="11"/>
  <c r="N184" i="11" s="1"/>
  <c r="I184" i="11"/>
  <c r="J184" i="11" s="1"/>
  <c r="I188" i="11"/>
  <c r="J188" i="11" s="1"/>
  <c r="D188" i="11"/>
  <c r="M188" i="11"/>
  <c r="N188" i="11" s="1"/>
  <c r="D192" i="11"/>
  <c r="M192" i="11"/>
  <c r="N192" i="11" s="1"/>
  <c r="I192" i="11"/>
  <c r="J192" i="11" s="1"/>
  <c r="I196" i="11"/>
  <c r="J196" i="11" s="1"/>
  <c r="D196" i="11"/>
  <c r="M196" i="11"/>
  <c r="N196" i="11" s="1"/>
  <c r="D200" i="11"/>
  <c r="M200" i="11"/>
  <c r="N200" i="11" s="1"/>
  <c r="I200" i="11"/>
  <c r="J200" i="11" s="1"/>
  <c r="M55" i="11"/>
  <c r="I55" i="11"/>
  <c r="M127" i="11"/>
  <c r="N127" i="11" s="1"/>
  <c r="D127" i="11"/>
  <c r="I127" i="11"/>
  <c r="J127" i="11" s="1"/>
  <c r="M143" i="11"/>
  <c r="N143" i="11" s="1"/>
  <c r="D143" i="11"/>
  <c r="I143" i="11"/>
  <c r="J143" i="11" s="1"/>
  <c r="D8" i="11"/>
  <c r="M8" i="11"/>
  <c r="I8" i="11"/>
  <c r="D16" i="11"/>
  <c r="M16" i="11"/>
  <c r="I16" i="11"/>
  <c r="D24" i="11"/>
  <c r="M24" i="11"/>
  <c r="I24" i="11"/>
  <c r="D30" i="11"/>
  <c r="I30" i="11"/>
  <c r="M30" i="11"/>
  <c r="D38" i="11"/>
  <c r="M38" i="11"/>
  <c r="I38" i="11"/>
  <c r="D46" i="11"/>
  <c r="I46" i="11"/>
  <c r="M46" i="11"/>
  <c r="M58" i="11"/>
  <c r="I58" i="11"/>
  <c r="M65" i="11"/>
  <c r="I65" i="11"/>
  <c r="M73" i="11"/>
  <c r="I73" i="11"/>
  <c r="M89" i="11"/>
  <c r="I89" i="11"/>
  <c r="M97" i="11"/>
  <c r="I97" i="11"/>
  <c r="M105" i="11"/>
  <c r="I105" i="11"/>
  <c r="D108" i="11"/>
  <c r="I108" i="11"/>
  <c r="J108" i="11" s="1"/>
  <c r="M108" i="11"/>
  <c r="N108" i="11" s="1"/>
  <c r="D116" i="11"/>
  <c r="M116" i="11"/>
  <c r="N116" i="11" s="1"/>
  <c r="I116" i="11"/>
  <c r="J116" i="11" s="1"/>
  <c r="D124" i="11"/>
  <c r="I124" i="11"/>
  <c r="J124" i="11" s="1"/>
  <c r="M124" i="11"/>
  <c r="N124" i="11" s="1"/>
  <c r="D132" i="11"/>
  <c r="M132" i="11"/>
  <c r="N132" i="11" s="1"/>
  <c r="I132" i="11"/>
  <c r="J132" i="11" s="1"/>
  <c r="D140" i="11"/>
  <c r="I140" i="11"/>
  <c r="J140" i="11" s="1"/>
  <c r="M140" i="11"/>
  <c r="N140" i="11" s="1"/>
  <c r="D148" i="11"/>
  <c r="M148" i="11"/>
  <c r="N148" i="11" s="1"/>
  <c r="I148" i="11"/>
  <c r="J148" i="11" s="1"/>
  <c r="D156" i="11"/>
  <c r="I156" i="11"/>
  <c r="J156" i="11" s="1"/>
  <c r="M156" i="11"/>
  <c r="N156" i="11" s="1"/>
  <c r="D167" i="11"/>
  <c r="M167" i="11"/>
  <c r="N167" i="11" s="1"/>
  <c r="I167" i="11"/>
  <c r="J167" i="11" s="1"/>
  <c r="D168" i="11"/>
  <c r="M168" i="11"/>
  <c r="N168" i="11" s="1"/>
  <c r="I168" i="11"/>
  <c r="J168" i="11" s="1"/>
  <c r="D17" i="11"/>
  <c r="M17" i="11"/>
  <c r="I17" i="11"/>
  <c r="D25" i="11"/>
  <c r="M25" i="11"/>
  <c r="I25" i="11"/>
  <c r="D2" i="11"/>
  <c r="M2" i="11"/>
  <c r="I2" i="11"/>
  <c r="D5" i="11"/>
  <c r="M5" i="11"/>
  <c r="I5" i="11"/>
  <c r="D35" i="11"/>
  <c r="M35" i="11"/>
  <c r="I35" i="11"/>
  <c r="D43" i="11"/>
  <c r="I43" i="11"/>
  <c r="M43" i="11"/>
  <c r="D51" i="11"/>
  <c r="M51" i="11"/>
  <c r="I51" i="11"/>
  <c r="I62" i="11"/>
  <c r="M62" i="11"/>
  <c r="M70" i="11"/>
  <c r="I70" i="11"/>
  <c r="I78" i="11"/>
  <c r="M78" i="11"/>
  <c r="M86" i="11"/>
  <c r="I86" i="11"/>
  <c r="I94" i="11"/>
  <c r="M94" i="11"/>
  <c r="M102" i="11"/>
  <c r="I102" i="11"/>
  <c r="D113" i="11"/>
  <c r="M113" i="11"/>
  <c r="N113" i="11" s="1"/>
  <c r="I113" i="11"/>
  <c r="J113" i="11" s="1"/>
  <c r="D121" i="11"/>
  <c r="M121" i="11"/>
  <c r="N121" i="11" s="1"/>
  <c r="I121" i="11"/>
  <c r="J121" i="11" s="1"/>
  <c r="D129" i="11"/>
  <c r="M129" i="11"/>
  <c r="N129" i="11" s="1"/>
  <c r="I129" i="11"/>
  <c r="J129" i="11" s="1"/>
  <c r="D137" i="11"/>
  <c r="M137" i="11"/>
  <c r="N137" i="11" s="1"/>
  <c r="I137" i="11"/>
  <c r="J137" i="11" s="1"/>
  <c r="D145" i="11"/>
  <c r="M145" i="11"/>
  <c r="N145" i="11" s="1"/>
  <c r="I145" i="11"/>
  <c r="J145" i="11" s="1"/>
  <c r="D153" i="11"/>
  <c r="M153" i="11"/>
  <c r="N153" i="11" s="1"/>
  <c r="I153" i="11"/>
  <c r="J153" i="11" s="1"/>
  <c r="D164" i="11"/>
  <c r="I164" i="11"/>
  <c r="J164" i="11" s="1"/>
  <c r="M164" i="11"/>
  <c r="N164" i="11" s="1"/>
  <c r="D171" i="11"/>
  <c r="I171" i="11"/>
  <c r="J171" i="11" s="1"/>
  <c r="M171" i="11"/>
  <c r="N171" i="11" s="1"/>
  <c r="D175" i="11"/>
  <c r="M175" i="11"/>
  <c r="N175" i="11" s="1"/>
  <c r="I175" i="11"/>
  <c r="J175" i="11" s="1"/>
  <c r="D179" i="11"/>
  <c r="I179" i="11"/>
  <c r="J179" i="11" s="1"/>
  <c r="M179" i="11"/>
  <c r="N179" i="11" s="1"/>
  <c r="D183" i="11"/>
  <c r="M183" i="11"/>
  <c r="N183" i="11" s="1"/>
  <c r="I183" i="11"/>
  <c r="J183" i="11" s="1"/>
  <c r="D187" i="11"/>
  <c r="I187" i="11"/>
  <c r="J187" i="11" s="1"/>
  <c r="M187" i="11"/>
  <c r="N187" i="11" s="1"/>
  <c r="D191" i="11"/>
  <c r="M191" i="11"/>
  <c r="N191" i="11" s="1"/>
  <c r="I191" i="11"/>
  <c r="J191" i="11" s="1"/>
  <c r="D195" i="11"/>
  <c r="I195" i="11"/>
  <c r="J195" i="11" s="1"/>
  <c r="M195" i="11"/>
  <c r="N195" i="11" s="1"/>
  <c r="D199" i="11"/>
  <c r="M199" i="11"/>
  <c r="N199" i="11" s="1"/>
  <c r="I199" i="11"/>
  <c r="J199" i="11" s="1"/>
  <c r="M10" i="11"/>
  <c r="I10" i="11"/>
  <c r="M49" i="11"/>
  <c r="I49" i="11"/>
  <c r="M68" i="11"/>
  <c r="I68" i="11"/>
  <c r="I76" i="11"/>
  <c r="M76" i="11"/>
  <c r="I92" i="11"/>
  <c r="M92" i="11"/>
  <c r="M100" i="11"/>
  <c r="I100" i="11"/>
  <c r="D27" i="11"/>
  <c r="I27" i="11"/>
  <c r="M27" i="11"/>
  <c r="D9" i="11"/>
  <c r="M9" i="11"/>
  <c r="I9" i="11"/>
  <c r="D18" i="11"/>
  <c r="M18" i="11"/>
  <c r="I18" i="11"/>
  <c r="D32" i="11"/>
  <c r="M32" i="11"/>
  <c r="I32" i="11"/>
  <c r="D40" i="11"/>
  <c r="M40" i="11"/>
  <c r="I40" i="11"/>
  <c r="D48" i="11"/>
  <c r="M48" i="11"/>
  <c r="I48" i="11"/>
  <c r="I60" i="11"/>
  <c r="M60" i="11"/>
  <c r="M67" i="11"/>
  <c r="I67" i="11"/>
  <c r="I75" i="11"/>
  <c r="M75" i="11"/>
  <c r="M83" i="11"/>
  <c r="I83" i="11"/>
  <c r="I91" i="11"/>
  <c r="M91" i="11"/>
  <c r="M99" i="11"/>
  <c r="I99" i="11"/>
  <c r="I107" i="11"/>
  <c r="M107" i="11"/>
  <c r="D110" i="11"/>
  <c r="I110" i="11"/>
  <c r="J110" i="11" s="1"/>
  <c r="M110" i="11"/>
  <c r="N110" i="11" s="1"/>
  <c r="D118" i="11"/>
  <c r="M118" i="11"/>
  <c r="N118" i="11" s="1"/>
  <c r="I118" i="11"/>
  <c r="J118" i="11" s="1"/>
  <c r="D126" i="11"/>
  <c r="I126" i="11"/>
  <c r="J126" i="11" s="1"/>
  <c r="M126" i="11"/>
  <c r="N126" i="11" s="1"/>
  <c r="D134" i="11"/>
  <c r="M134" i="11"/>
  <c r="N134" i="11" s="1"/>
  <c r="I134" i="11"/>
  <c r="J134" i="11" s="1"/>
  <c r="D142" i="11"/>
  <c r="I142" i="11"/>
  <c r="J142" i="11" s="1"/>
  <c r="M142" i="11"/>
  <c r="N142" i="11" s="1"/>
  <c r="D150" i="11"/>
  <c r="M150" i="11"/>
  <c r="N150" i="11" s="1"/>
  <c r="I150" i="11"/>
  <c r="J150" i="11" s="1"/>
  <c r="D158" i="11"/>
  <c r="M158" i="11"/>
  <c r="N158" i="11" s="1"/>
  <c r="I158" i="11"/>
  <c r="J158" i="11" s="1"/>
  <c r="D161" i="11"/>
  <c r="M161" i="11"/>
  <c r="N161" i="11" s="1"/>
  <c r="I161" i="11"/>
  <c r="J161" i="11" s="1"/>
  <c r="I59" i="11"/>
  <c r="M59" i="11"/>
  <c r="D19" i="11"/>
  <c r="M19" i="11"/>
  <c r="I19" i="11"/>
  <c r="D41" i="11"/>
  <c r="M41" i="11"/>
  <c r="I41" i="11"/>
  <c r="D13" i="11"/>
  <c r="M13" i="11"/>
  <c r="I13" i="11"/>
  <c r="D7" i="11"/>
  <c r="M7" i="11"/>
  <c r="I7" i="11"/>
  <c r="D15" i="11"/>
  <c r="M15" i="11"/>
  <c r="I15" i="11"/>
  <c r="D21" i="11"/>
  <c r="M21" i="11"/>
  <c r="I21" i="11"/>
  <c r="D29" i="11"/>
  <c r="M29" i="11"/>
  <c r="I29" i="11"/>
  <c r="D37" i="11"/>
  <c r="M37" i="11"/>
  <c r="I37" i="11"/>
  <c r="D45" i="11"/>
  <c r="M45" i="11"/>
  <c r="I45" i="11"/>
  <c r="D54" i="11"/>
  <c r="M54" i="11"/>
  <c r="I54" i="11"/>
  <c r="M57" i="11"/>
  <c r="I57" i="11"/>
  <c r="M64" i="11"/>
  <c r="I64" i="11"/>
  <c r="M72" i="11"/>
  <c r="I72" i="11"/>
  <c r="M80" i="11"/>
  <c r="I80" i="11"/>
  <c r="M82" i="11"/>
  <c r="I82" i="11"/>
  <c r="M88" i="11"/>
  <c r="I88" i="11"/>
  <c r="M96" i="11"/>
  <c r="I96" i="11"/>
  <c r="M104" i="11"/>
  <c r="I104" i="11"/>
  <c r="D115" i="11"/>
  <c r="M115" i="11"/>
  <c r="N115" i="11" s="1"/>
  <c r="I115" i="11"/>
  <c r="J115" i="11" s="1"/>
  <c r="D123" i="11"/>
  <c r="I123" i="11"/>
  <c r="J123" i="11" s="1"/>
  <c r="M123" i="11"/>
  <c r="N123" i="11" s="1"/>
  <c r="D131" i="11"/>
  <c r="M131" i="11"/>
  <c r="N131" i="11" s="1"/>
  <c r="I131" i="11"/>
  <c r="J131" i="11" s="1"/>
  <c r="D139" i="11"/>
  <c r="I139" i="11"/>
  <c r="J139" i="11" s="1"/>
  <c r="M139" i="11"/>
  <c r="N139" i="11" s="1"/>
  <c r="D147" i="11"/>
  <c r="M147" i="11"/>
  <c r="N147" i="11" s="1"/>
  <c r="I147" i="11"/>
  <c r="J147" i="11" s="1"/>
  <c r="D155" i="11"/>
  <c r="I155" i="11"/>
  <c r="J155" i="11" s="1"/>
  <c r="M155" i="11"/>
  <c r="N155" i="11" s="1"/>
  <c r="D166" i="11"/>
  <c r="M166" i="11"/>
  <c r="N166" i="11" s="1"/>
  <c r="I166" i="11"/>
  <c r="J166" i="11" s="1"/>
  <c r="D170" i="11"/>
  <c r="I170" i="11"/>
  <c r="J170" i="11" s="1"/>
  <c r="M170" i="11"/>
  <c r="N170" i="11" s="1"/>
  <c r="D174" i="11"/>
  <c r="M174" i="11"/>
  <c r="N174" i="11" s="1"/>
  <c r="I174" i="11"/>
  <c r="J174" i="11" s="1"/>
  <c r="D178" i="11"/>
  <c r="I178" i="11"/>
  <c r="J178" i="11" s="1"/>
  <c r="M178" i="11"/>
  <c r="N178" i="11" s="1"/>
  <c r="D182" i="11"/>
  <c r="M182" i="11"/>
  <c r="N182" i="11" s="1"/>
  <c r="I182" i="11"/>
  <c r="J182" i="11" s="1"/>
  <c r="D186" i="11"/>
  <c r="I186" i="11"/>
  <c r="J186" i="11" s="1"/>
  <c r="M186" i="11"/>
  <c r="N186" i="11" s="1"/>
  <c r="D190" i="11"/>
  <c r="M190" i="11"/>
  <c r="N190" i="11" s="1"/>
  <c r="I190" i="11"/>
  <c r="J190" i="11" s="1"/>
  <c r="D194" i="11"/>
  <c r="I194" i="11"/>
  <c r="J194" i="11" s="1"/>
  <c r="M194" i="11"/>
  <c r="N194" i="11" s="1"/>
  <c r="D198" i="11"/>
  <c r="M198" i="11"/>
  <c r="N198" i="11" s="1"/>
  <c r="I198" i="11"/>
  <c r="J198" i="11" s="1"/>
  <c r="D202" i="11"/>
  <c r="I202" i="11"/>
  <c r="J202" i="11" s="1"/>
  <c r="M202" i="11"/>
  <c r="N202" i="11" s="1"/>
  <c r="D4" i="11"/>
  <c r="I4" i="11"/>
  <c r="M4" i="11"/>
  <c r="D12" i="11"/>
  <c r="I12" i="11"/>
  <c r="M12" i="11"/>
  <c r="D26" i="11"/>
  <c r="M26" i="11"/>
  <c r="I26" i="11"/>
  <c r="D34" i="11"/>
  <c r="M34" i="11"/>
  <c r="I34" i="11"/>
  <c r="D42" i="11"/>
  <c r="M42" i="11"/>
  <c r="I42" i="11"/>
  <c r="D50" i="11"/>
  <c r="M50" i="11"/>
  <c r="I50" i="11"/>
  <c r="M61" i="11"/>
  <c r="I61" i="11"/>
  <c r="M69" i="11"/>
  <c r="I69" i="11"/>
  <c r="M77" i="11"/>
  <c r="I77" i="11"/>
  <c r="M79" i="11"/>
  <c r="I79" i="11"/>
  <c r="M85" i="11"/>
  <c r="I85" i="11"/>
  <c r="M93" i="11"/>
  <c r="I93" i="11"/>
  <c r="M101" i="11"/>
  <c r="I101" i="11"/>
  <c r="M112" i="11"/>
  <c r="N112" i="11" s="1"/>
  <c r="D112" i="11"/>
  <c r="I112" i="11"/>
  <c r="J112" i="11" s="1"/>
  <c r="M120" i="11"/>
  <c r="N120" i="11" s="1"/>
  <c r="D120" i="11"/>
  <c r="I120" i="11"/>
  <c r="J120" i="11" s="1"/>
  <c r="M128" i="11"/>
  <c r="N128" i="11" s="1"/>
  <c r="D128" i="11"/>
  <c r="I128" i="11"/>
  <c r="J128" i="11" s="1"/>
  <c r="M136" i="11"/>
  <c r="N136" i="11" s="1"/>
  <c r="D136" i="11"/>
  <c r="I136" i="11"/>
  <c r="J136" i="11" s="1"/>
  <c r="M144" i="11"/>
  <c r="N144" i="11" s="1"/>
  <c r="D144" i="11"/>
  <c r="I144" i="11"/>
  <c r="J144" i="11" s="1"/>
  <c r="M152" i="11"/>
  <c r="N152" i="11" s="1"/>
  <c r="D152" i="11"/>
  <c r="I152" i="11"/>
  <c r="J152" i="11" s="1"/>
  <c r="D160" i="11"/>
  <c r="M160" i="11"/>
  <c r="N160" i="11" s="1"/>
  <c r="I160" i="11"/>
  <c r="J160" i="11" s="1"/>
  <c r="D163" i="11"/>
  <c r="I163" i="11"/>
  <c r="J163" i="11" s="1"/>
  <c r="M163" i="11"/>
  <c r="N163" i="11" s="1"/>
  <c r="D23" i="11"/>
  <c r="M23" i="11"/>
  <c r="I23" i="11"/>
  <c r="M74" i="11"/>
  <c r="I74" i="11"/>
  <c r="M98" i="11"/>
  <c r="I98" i="11"/>
  <c r="M109" i="11"/>
  <c r="N109" i="11" s="1"/>
  <c r="D109" i="11"/>
  <c r="I109" i="11"/>
  <c r="J109" i="11" s="1"/>
  <c r="M125" i="11"/>
  <c r="N125" i="11" s="1"/>
  <c r="D125" i="11"/>
  <c r="I125" i="11"/>
  <c r="J125" i="11" s="1"/>
  <c r="D157" i="11"/>
  <c r="M157" i="11"/>
  <c r="N157" i="11" s="1"/>
  <c r="I157" i="11"/>
  <c r="J157" i="11" s="1"/>
  <c r="D169" i="11"/>
  <c r="M169" i="11"/>
  <c r="N169" i="11" s="1"/>
  <c r="I169" i="11"/>
  <c r="J169" i="11" s="1"/>
  <c r="D173" i="11"/>
  <c r="I173" i="11"/>
  <c r="J173" i="11" s="1"/>
  <c r="M173" i="11"/>
  <c r="N173" i="11" s="1"/>
  <c r="D177" i="11"/>
  <c r="M177" i="11"/>
  <c r="N177" i="11" s="1"/>
  <c r="I177" i="11"/>
  <c r="J177" i="11" s="1"/>
  <c r="D181" i="11"/>
  <c r="I181" i="11"/>
  <c r="J181" i="11" s="1"/>
  <c r="M181" i="11"/>
  <c r="N181" i="11" s="1"/>
  <c r="D185" i="11"/>
  <c r="M185" i="11"/>
  <c r="N185" i="11" s="1"/>
  <c r="I185" i="11"/>
  <c r="J185" i="11" s="1"/>
  <c r="D189" i="11"/>
  <c r="I189" i="11"/>
  <c r="J189" i="11" s="1"/>
  <c r="M189" i="11"/>
  <c r="N189" i="11" s="1"/>
  <c r="D193" i="11"/>
  <c r="M193" i="11"/>
  <c r="N193" i="11" s="1"/>
  <c r="I193" i="11"/>
  <c r="J193" i="11" s="1"/>
  <c r="D197" i="11"/>
  <c r="I197" i="11"/>
  <c r="J197" i="11" s="1"/>
  <c r="M197" i="11"/>
  <c r="N197" i="11" s="1"/>
  <c r="D201" i="11"/>
  <c r="M201" i="11"/>
  <c r="N201" i="11" s="1"/>
  <c r="I201" i="11"/>
  <c r="J201" i="11" s="1"/>
  <c r="D39" i="11"/>
  <c r="M39" i="11"/>
  <c r="I39" i="11"/>
  <c r="D47" i="11"/>
  <c r="M47" i="11"/>
  <c r="I47" i="11"/>
  <c r="M66" i="11"/>
  <c r="I66" i="11"/>
  <c r="M84" i="11"/>
  <c r="I84" i="11"/>
  <c r="M90" i="11"/>
  <c r="I90" i="11"/>
  <c r="M106" i="11"/>
  <c r="I106" i="11"/>
  <c r="M117" i="11"/>
  <c r="N117" i="11" s="1"/>
  <c r="D117" i="11"/>
  <c r="I117" i="11"/>
  <c r="J117" i="11" s="1"/>
  <c r="M133" i="11"/>
  <c r="N133" i="11" s="1"/>
  <c r="D133" i="11"/>
  <c r="I133" i="11"/>
  <c r="J133" i="11" s="1"/>
  <c r="M141" i="11"/>
  <c r="N141" i="11" s="1"/>
  <c r="D141" i="11"/>
  <c r="I141" i="11"/>
  <c r="J141" i="11" s="1"/>
  <c r="M149" i="11"/>
  <c r="N149" i="11" s="1"/>
  <c r="D149" i="11"/>
  <c r="I149" i="11"/>
  <c r="J149" i="11" s="1"/>
  <c r="D3" i="11"/>
  <c r="M3" i="11"/>
  <c r="I3" i="11"/>
  <c r="D6" i="11"/>
  <c r="M6" i="11"/>
  <c r="I6" i="11"/>
  <c r="D14" i="11"/>
  <c r="I14" i="11"/>
  <c r="M14" i="11"/>
  <c r="D20" i="11"/>
  <c r="M20" i="11"/>
  <c r="I20" i="11"/>
  <c r="D22" i="11"/>
  <c r="M22" i="11"/>
  <c r="I22" i="11"/>
  <c r="D28" i="11"/>
  <c r="I28" i="11"/>
  <c r="M28" i="11"/>
  <c r="D36" i="11"/>
  <c r="M36" i="11"/>
  <c r="I36" i="11"/>
  <c r="D44" i="11"/>
  <c r="I44" i="11"/>
  <c r="M44" i="11"/>
  <c r="D53" i="11"/>
  <c r="M53" i="11"/>
  <c r="I53" i="11"/>
  <c r="M56" i="11"/>
  <c r="I56" i="11"/>
  <c r="M63" i="11"/>
  <c r="I63" i="11"/>
  <c r="M71" i="11"/>
  <c r="I71" i="11"/>
  <c r="M81" i="11"/>
  <c r="I81" i="11"/>
  <c r="M87" i="11"/>
  <c r="I87" i="11"/>
  <c r="M95" i="11"/>
  <c r="I95" i="11"/>
  <c r="M103" i="11"/>
  <c r="I103" i="11"/>
  <c r="M114" i="11"/>
  <c r="N114" i="11" s="1"/>
  <c r="I114" i="11"/>
  <c r="J114" i="11" s="1"/>
  <c r="D114" i="11"/>
  <c r="M122" i="11"/>
  <c r="N122" i="11" s="1"/>
  <c r="D122" i="11"/>
  <c r="I122" i="11"/>
  <c r="J122" i="11" s="1"/>
  <c r="M130" i="11"/>
  <c r="N130" i="11" s="1"/>
  <c r="I130" i="11"/>
  <c r="J130" i="11" s="1"/>
  <c r="D130" i="11"/>
  <c r="M138" i="11"/>
  <c r="N138" i="11" s="1"/>
  <c r="I138" i="11"/>
  <c r="J138" i="11" s="1"/>
  <c r="D138" i="11"/>
  <c r="M146" i="11"/>
  <c r="N146" i="11" s="1"/>
  <c r="I146" i="11"/>
  <c r="J146" i="11" s="1"/>
  <c r="D146" i="11"/>
  <c r="I154" i="11"/>
  <c r="J154" i="11" s="1"/>
  <c r="D154" i="11"/>
  <c r="M154" i="11"/>
  <c r="N154" i="11" s="1"/>
  <c r="D165" i="11"/>
  <c r="I165" i="11"/>
  <c r="J165" i="11" s="1"/>
  <c r="M165" i="11"/>
  <c r="N165" i="11" s="1"/>
  <c r="N52" i="11"/>
  <c r="N54" i="11"/>
  <c r="N53" i="11"/>
  <c r="N51" i="11"/>
  <c r="N50" i="11"/>
  <c r="N48" i="11"/>
  <c r="N49" i="11"/>
  <c r="D49" i="11"/>
  <c r="N47" i="11"/>
  <c r="N45" i="11"/>
  <c r="N46" i="11"/>
  <c r="N44" i="11"/>
  <c r="N42" i="11"/>
  <c r="N43" i="11"/>
  <c r="N41" i="11"/>
  <c r="N40" i="11"/>
  <c r="N38" i="11"/>
  <c r="N39" i="11"/>
  <c r="N37" i="11"/>
  <c r="N35" i="11"/>
  <c r="N36" i="11"/>
  <c r="N34" i="11"/>
  <c r="N33" i="11"/>
  <c r="N32" i="11"/>
  <c r="N27" i="11"/>
  <c r="N31" i="11"/>
  <c r="N30" i="11"/>
  <c r="N29" i="11"/>
  <c r="N28" i="11"/>
  <c r="N26" i="11"/>
  <c r="N25" i="11"/>
  <c r="N23" i="11"/>
  <c r="N24" i="11"/>
  <c r="N21" i="11"/>
  <c r="N22" i="11"/>
  <c r="N20" i="11"/>
  <c r="N19" i="11"/>
  <c r="N17" i="11"/>
  <c r="N18" i="11"/>
  <c r="N16" i="11"/>
  <c r="N15" i="11"/>
  <c r="N14" i="11"/>
  <c r="N13" i="11"/>
  <c r="N11" i="11"/>
  <c r="N12" i="11"/>
  <c r="N9" i="11"/>
  <c r="D10" i="11"/>
  <c r="N10" i="11"/>
  <c r="N7" i="11"/>
  <c r="N8" i="11"/>
  <c r="N6" i="11"/>
  <c r="N5" i="11"/>
  <c r="N4" i="11"/>
  <c r="N3" i="11"/>
  <c r="N2" i="11"/>
  <c r="U55" i="11" l="1"/>
  <c r="O216" i="11" l="1"/>
  <c r="P216" i="11" l="1"/>
  <c r="AJ50" i="10" l="1"/>
  <c r="AK50" i="10" s="1"/>
  <c r="G545" i="4" l="1"/>
  <c r="O215" i="11"/>
  <c r="P215" i="11" l="1"/>
  <c r="P544" i="4" l="1"/>
  <c r="G544" i="4"/>
  <c r="P543" i="4"/>
  <c r="G543" i="4"/>
  <c r="O214" i="11" l="1"/>
  <c r="O212" i="11"/>
  <c r="P541" i="4"/>
  <c r="G541" i="4"/>
  <c r="P214" i="11" l="1"/>
  <c r="S214" i="11"/>
  <c r="P212" i="11"/>
  <c r="S215" i="11" l="1"/>
  <c r="T214" i="11"/>
  <c r="S216" i="11" l="1"/>
  <c r="T215" i="11"/>
  <c r="P540" i="4"/>
  <c r="G540" i="4"/>
  <c r="T216" i="11" l="1"/>
  <c r="P539" i="4"/>
  <c r="G539" i="4"/>
  <c r="P538" i="4"/>
  <c r="G538" i="4"/>
  <c r="P537" i="4"/>
  <c r="G537" i="4"/>
  <c r="P536" i="4"/>
  <c r="G536" i="4"/>
  <c r="P535" i="4"/>
  <c r="G535" i="4"/>
  <c r="P534" i="4"/>
  <c r="G534" i="4"/>
  <c r="P533" i="4"/>
  <c r="G533" i="4"/>
  <c r="P532" i="4"/>
  <c r="G532" i="4"/>
  <c r="O211" i="11" l="1"/>
  <c r="P528" i="4"/>
  <c r="P529" i="4"/>
  <c r="P530" i="4"/>
  <c r="P531" i="4"/>
  <c r="G531" i="4"/>
  <c r="G530" i="4"/>
  <c r="G529" i="4"/>
  <c r="G528" i="4"/>
  <c r="P211" i="11" l="1"/>
  <c r="P527" i="4"/>
  <c r="G527" i="4"/>
  <c r="G526" i="4" l="1"/>
  <c r="P576" i="4"/>
  <c r="G576" i="4"/>
  <c r="P575" i="4"/>
  <c r="G575" i="4"/>
  <c r="P574" i="4"/>
  <c r="G574" i="4"/>
  <c r="P573" i="4"/>
  <c r="G573" i="4"/>
  <c r="P572" i="4"/>
  <c r="G572" i="4"/>
  <c r="P571" i="4"/>
  <c r="G571" i="4"/>
  <c r="P570" i="4"/>
  <c r="G570" i="4"/>
  <c r="P569" i="4"/>
  <c r="G569" i="4"/>
  <c r="P568" i="4"/>
  <c r="G568" i="4"/>
  <c r="P567" i="4"/>
  <c r="G567" i="4"/>
  <c r="P566" i="4"/>
  <c r="G566" i="4"/>
  <c r="P565" i="4"/>
  <c r="G565" i="4"/>
  <c r="P564" i="4"/>
  <c r="G564" i="4"/>
  <c r="P563" i="4"/>
  <c r="G563" i="4"/>
  <c r="P562" i="4"/>
  <c r="G562" i="4"/>
  <c r="P561" i="4"/>
  <c r="G561" i="4"/>
  <c r="P560" i="4"/>
  <c r="G560" i="4"/>
  <c r="P559" i="4"/>
  <c r="G559" i="4"/>
  <c r="P558" i="4"/>
  <c r="G558" i="4"/>
  <c r="P557" i="4"/>
  <c r="G557" i="4"/>
  <c r="P556" i="4"/>
  <c r="G556" i="4"/>
  <c r="P555" i="4"/>
  <c r="G555" i="4"/>
  <c r="P554" i="4"/>
  <c r="G554" i="4"/>
  <c r="P553" i="4"/>
  <c r="G553" i="4"/>
  <c r="P552" i="4"/>
  <c r="G552" i="4"/>
  <c r="P551" i="4"/>
  <c r="G551" i="4"/>
  <c r="P550" i="4"/>
  <c r="G550" i="4"/>
  <c r="P549" i="4"/>
  <c r="G549" i="4"/>
  <c r="P548" i="4"/>
  <c r="P547" i="4"/>
  <c r="P546" i="4"/>
  <c r="P545" i="4"/>
  <c r="P542" i="4"/>
  <c r="G542" i="4"/>
  <c r="P600" i="4"/>
  <c r="G600" i="4"/>
  <c r="P599" i="4"/>
  <c r="G599" i="4"/>
  <c r="P598" i="4"/>
  <c r="G598" i="4"/>
  <c r="P597" i="4"/>
  <c r="G597" i="4"/>
  <c r="P596" i="4"/>
  <c r="G596" i="4"/>
  <c r="P595" i="4"/>
  <c r="G595" i="4"/>
  <c r="P594" i="4"/>
  <c r="G594" i="4"/>
  <c r="P593" i="4"/>
  <c r="G593" i="4"/>
  <c r="P592" i="4"/>
  <c r="G592" i="4"/>
  <c r="P591" i="4"/>
  <c r="G591" i="4"/>
  <c r="P590" i="4"/>
  <c r="G590" i="4"/>
  <c r="P589" i="4"/>
  <c r="G589" i="4"/>
  <c r="P588" i="4"/>
  <c r="G588" i="4"/>
  <c r="P587" i="4"/>
  <c r="G587" i="4"/>
  <c r="P586" i="4"/>
  <c r="G586" i="4"/>
  <c r="P585" i="4"/>
  <c r="G585" i="4"/>
  <c r="P584" i="4"/>
  <c r="G584" i="4"/>
  <c r="P583" i="4"/>
  <c r="G583" i="4"/>
  <c r="P582" i="4"/>
  <c r="G582" i="4"/>
  <c r="P581" i="4"/>
  <c r="G581" i="4"/>
  <c r="P580" i="4"/>
  <c r="G580" i="4"/>
  <c r="P579" i="4"/>
  <c r="G579" i="4"/>
  <c r="P578" i="4"/>
  <c r="G578" i="4"/>
  <c r="P577" i="4"/>
  <c r="G577" i="4"/>
  <c r="G524" i="4" l="1"/>
  <c r="G525" i="4"/>
  <c r="P524" i="4" l="1"/>
  <c r="P525" i="4"/>
  <c r="O210" i="11" l="1"/>
  <c r="P210" i="11" l="1"/>
  <c r="J25" i="10" l="1"/>
  <c r="J24" i="10"/>
  <c r="J23" i="10"/>
  <c r="J22" i="10"/>
  <c r="J21" i="10"/>
  <c r="J20" i="10"/>
  <c r="J19" i="10"/>
  <c r="J18" i="10"/>
  <c r="J17" i="10"/>
  <c r="J16" i="10"/>
  <c r="J15" i="10"/>
  <c r="J14" i="10"/>
  <c r="J13" i="10"/>
  <c r="J12" i="10"/>
  <c r="J11" i="10"/>
  <c r="J10" i="10"/>
  <c r="J9" i="10"/>
  <c r="J8" i="10"/>
  <c r="J7" i="10"/>
  <c r="J6" i="10"/>
  <c r="J5" i="10"/>
  <c r="J4" i="10"/>
  <c r="J3" i="10"/>
  <c r="J2" i="10"/>
  <c r="I26" i="10"/>
  <c r="E26" i="10"/>
  <c r="I27" i="10"/>
  <c r="E27" i="10"/>
  <c r="I28" i="10"/>
  <c r="E28" i="10"/>
  <c r="I29" i="10"/>
  <c r="E29" i="10"/>
  <c r="I30" i="10"/>
  <c r="E30" i="10"/>
  <c r="I31" i="10"/>
  <c r="E31" i="10"/>
  <c r="I32" i="10"/>
  <c r="E32" i="10"/>
  <c r="I33" i="10"/>
  <c r="E33" i="10"/>
  <c r="I34" i="10"/>
  <c r="E34" i="10"/>
  <c r="I35" i="10"/>
  <c r="E35" i="10"/>
  <c r="I36" i="10"/>
  <c r="E36" i="10"/>
  <c r="I37" i="10"/>
  <c r="E37" i="10"/>
  <c r="I38" i="10"/>
  <c r="E38" i="10"/>
  <c r="I39" i="10"/>
  <c r="E39" i="10"/>
  <c r="I40" i="10"/>
  <c r="E40" i="10"/>
  <c r="I41" i="10"/>
  <c r="E41" i="10"/>
  <c r="I42" i="10"/>
  <c r="E42" i="10"/>
  <c r="I43" i="10"/>
  <c r="E43" i="10"/>
  <c r="I44" i="10"/>
  <c r="E44" i="10"/>
  <c r="I45" i="10"/>
  <c r="E45" i="10"/>
  <c r="I46" i="10"/>
  <c r="E46" i="10"/>
  <c r="I47" i="10"/>
  <c r="E47" i="10"/>
  <c r="I48" i="10"/>
  <c r="E48" i="10"/>
  <c r="I49" i="10"/>
  <c r="E49" i="10"/>
  <c r="E25" i="10"/>
  <c r="C25" i="10"/>
  <c r="E24" i="10"/>
  <c r="C24" i="10"/>
  <c r="E23" i="10"/>
  <c r="C23" i="10"/>
  <c r="E22" i="10"/>
  <c r="C22" i="10"/>
  <c r="E21" i="10"/>
  <c r="C21" i="10"/>
  <c r="E20" i="10"/>
  <c r="C20" i="10"/>
  <c r="E19" i="10"/>
  <c r="C19" i="10"/>
  <c r="E18" i="10"/>
  <c r="C18" i="10"/>
  <c r="E17" i="10"/>
  <c r="C17" i="10"/>
  <c r="E16" i="10"/>
  <c r="C16" i="10"/>
  <c r="E15" i="10"/>
  <c r="C15" i="10"/>
  <c r="E14" i="10"/>
  <c r="C14" i="10"/>
  <c r="E13" i="10"/>
  <c r="C13" i="10"/>
  <c r="E12" i="10"/>
  <c r="C12" i="10"/>
  <c r="E11" i="10"/>
  <c r="C11" i="10"/>
  <c r="E10" i="10"/>
  <c r="C10" i="10"/>
  <c r="E9" i="10"/>
  <c r="C9" i="10"/>
  <c r="E8" i="10"/>
  <c r="C8" i="10"/>
  <c r="E7" i="10"/>
  <c r="C7" i="10"/>
  <c r="E6" i="10"/>
  <c r="C6" i="10"/>
  <c r="E5" i="10"/>
  <c r="C5" i="10"/>
  <c r="E4" i="10"/>
  <c r="C4" i="10"/>
  <c r="E3" i="10"/>
  <c r="C3" i="10"/>
  <c r="E2" i="10"/>
  <c r="C2" i="10"/>
  <c r="M2" i="10" l="1"/>
  <c r="I2" i="10"/>
  <c r="M22" i="10"/>
  <c r="I22" i="10"/>
  <c r="M18" i="10"/>
  <c r="I18" i="10"/>
  <c r="M14" i="10"/>
  <c r="I14" i="10"/>
  <c r="M10" i="10"/>
  <c r="I10" i="10"/>
  <c r="M6" i="10"/>
  <c r="I6" i="10"/>
  <c r="M25" i="10"/>
  <c r="I25" i="10"/>
  <c r="M21" i="10"/>
  <c r="I21" i="10"/>
  <c r="M17" i="10"/>
  <c r="I17" i="10"/>
  <c r="M13" i="10"/>
  <c r="I13" i="10"/>
  <c r="M9" i="10"/>
  <c r="I9" i="10"/>
  <c r="M5" i="10"/>
  <c r="I5" i="10"/>
  <c r="M24" i="10"/>
  <c r="I24" i="10"/>
  <c r="M20" i="10"/>
  <c r="I20" i="10"/>
  <c r="M16" i="10"/>
  <c r="I16" i="10"/>
  <c r="M12" i="10"/>
  <c r="I12" i="10"/>
  <c r="M8" i="10"/>
  <c r="I8" i="10"/>
  <c r="M4" i="10"/>
  <c r="I4" i="10"/>
  <c r="M23" i="10"/>
  <c r="I23" i="10"/>
  <c r="M19" i="10"/>
  <c r="I19" i="10"/>
  <c r="M15" i="10"/>
  <c r="I15" i="10"/>
  <c r="M11" i="10"/>
  <c r="I11" i="10"/>
  <c r="M7" i="10"/>
  <c r="I7" i="10"/>
  <c r="M3" i="10"/>
  <c r="I3" i="10"/>
  <c r="C27" i="10"/>
  <c r="M27" i="10"/>
  <c r="N27" i="10" s="1"/>
  <c r="C42" i="10"/>
  <c r="M42" i="10"/>
  <c r="N42" i="10" s="1"/>
  <c r="C34" i="10"/>
  <c r="M34" i="10"/>
  <c r="N34" i="10" s="1"/>
  <c r="C26" i="10"/>
  <c r="M26" i="10"/>
  <c r="N26" i="10" s="1"/>
  <c r="C35" i="10"/>
  <c r="M35" i="10"/>
  <c r="N35" i="10" s="1"/>
  <c r="C47" i="10"/>
  <c r="M47" i="10"/>
  <c r="N47" i="10" s="1"/>
  <c r="C39" i="10"/>
  <c r="M39" i="10"/>
  <c r="N39" i="10" s="1"/>
  <c r="C31" i="10"/>
  <c r="M31" i="10"/>
  <c r="N31" i="10" s="1"/>
  <c r="C36" i="10"/>
  <c r="M36" i="10"/>
  <c r="N36" i="10" s="1"/>
  <c r="C49" i="10"/>
  <c r="M49" i="10"/>
  <c r="N49" i="10" s="1"/>
  <c r="C41" i="10"/>
  <c r="M41" i="10"/>
  <c r="N41" i="10" s="1"/>
  <c r="C33" i="10"/>
  <c r="M33" i="10"/>
  <c r="N33" i="10" s="1"/>
  <c r="C28" i="10"/>
  <c r="M28" i="10"/>
  <c r="N28" i="10" s="1"/>
  <c r="C46" i="10"/>
  <c r="M46" i="10"/>
  <c r="N46" i="10" s="1"/>
  <c r="C38" i="10"/>
  <c r="M38" i="10"/>
  <c r="N38" i="10" s="1"/>
  <c r="C30" i="10"/>
  <c r="M30" i="10"/>
  <c r="N30" i="10" s="1"/>
  <c r="C48" i="10"/>
  <c r="M48" i="10"/>
  <c r="N48" i="10" s="1"/>
  <c r="C40" i="10"/>
  <c r="M40" i="10"/>
  <c r="N40" i="10" s="1"/>
  <c r="C32" i="10"/>
  <c r="M32" i="10"/>
  <c r="N32" i="10" s="1"/>
  <c r="C44" i="10"/>
  <c r="M44" i="10"/>
  <c r="N44" i="10" s="1"/>
  <c r="C43" i="10"/>
  <c r="M43" i="10"/>
  <c r="N43" i="10" s="1"/>
  <c r="C45" i="10"/>
  <c r="M45" i="10"/>
  <c r="N45" i="10" s="1"/>
  <c r="C37" i="10"/>
  <c r="M37" i="10"/>
  <c r="N37" i="10" s="1"/>
  <c r="C29" i="10"/>
  <c r="M29" i="10"/>
  <c r="N29" i="10" s="1"/>
  <c r="J43" i="10"/>
  <c r="J35" i="10"/>
  <c r="J27" i="10"/>
  <c r="J41" i="10"/>
  <c r="J33" i="10"/>
  <c r="J47" i="10"/>
  <c r="J49" i="10"/>
  <c r="J39" i="10"/>
  <c r="J46" i="10"/>
  <c r="J38" i="10"/>
  <c r="J30" i="10"/>
  <c r="J42" i="10"/>
  <c r="J34" i="10"/>
  <c r="J26" i="10"/>
  <c r="J31" i="10"/>
  <c r="J48" i="10"/>
  <c r="J40" i="10"/>
  <c r="J32" i="10"/>
  <c r="J45" i="10"/>
  <c r="J37" i="10"/>
  <c r="J29" i="10"/>
  <c r="J44" i="10"/>
  <c r="J36" i="10"/>
  <c r="J28" i="10"/>
  <c r="G522" i="4" l="1"/>
  <c r="P522" i="4"/>
  <c r="G523" i="4"/>
  <c r="P523" i="4"/>
  <c r="O209" i="11" l="1"/>
  <c r="O49" i="10"/>
  <c r="P209" i="11" l="1"/>
  <c r="P49" i="10"/>
  <c r="O208" i="11" l="1"/>
  <c r="P208" i="11" l="1"/>
  <c r="AP29" i="2" l="1"/>
  <c r="AP164" i="2"/>
  <c r="AP165" i="2"/>
  <c r="AP166" i="2"/>
  <c r="AP167" i="2"/>
  <c r="AP168" i="2"/>
  <c r="AP169" i="2"/>
  <c r="AP170" i="2"/>
  <c r="AP171" i="2"/>
  <c r="AP172" i="2"/>
  <c r="AP173" i="2"/>
  <c r="AP174" i="2"/>
  <c r="AP175" i="2"/>
  <c r="AP176" i="2"/>
  <c r="AP177" i="2"/>
  <c r="AP178" i="2"/>
  <c r="AP179" i="2"/>
  <c r="AP180" i="2"/>
  <c r="AP181" i="2"/>
  <c r="AP182" i="2"/>
  <c r="AP183" i="2"/>
  <c r="AP184" i="2"/>
  <c r="AP185" i="2"/>
  <c r="AP3" i="2"/>
  <c r="O205" i="11" l="1"/>
  <c r="P205" i="11" l="1"/>
  <c r="G516" i="4" l="1"/>
  <c r="G517" i="4"/>
  <c r="G518" i="4"/>
  <c r="G519" i="4"/>
  <c r="G520" i="4"/>
  <c r="G515" i="4"/>
  <c r="G512" i="4"/>
  <c r="P512" i="4"/>
  <c r="G513" i="4"/>
  <c r="P513" i="4"/>
  <c r="G514" i="4"/>
  <c r="P514" i="4"/>
  <c r="P515" i="4"/>
  <c r="P511" i="4"/>
  <c r="G511" i="4"/>
  <c r="O207" i="11" l="1"/>
  <c r="P207" i="11" l="1"/>
  <c r="G487" i="4" l="1"/>
  <c r="G486" i="4"/>
  <c r="P486" i="4"/>
  <c r="AJ49" i="10" l="1"/>
  <c r="AK49" i="10" s="1"/>
  <c r="M182" i="2"/>
  <c r="AB182" i="2"/>
  <c r="M183" i="2"/>
  <c r="AB183" i="2"/>
  <c r="M184" i="2"/>
  <c r="AB184" i="2"/>
  <c r="M185" i="2"/>
  <c r="AB185" i="2"/>
  <c r="AB181" i="2"/>
  <c r="M181" i="2"/>
  <c r="AB180" i="2"/>
  <c r="M180" i="2"/>
  <c r="AB179" i="2"/>
  <c r="M179" i="2"/>
  <c r="AB178" i="2"/>
  <c r="M178" i="2"/>
  <c r="AB177" i="2"/>
  <c r="M177" i="2"/>
  <c r="AB176" i="2"/>
  <c r="M176" i="2"/>
  <c r="AB175" i="2"/>
  <c r="M175" i="2"/>
  <c r="AB174" i="2"/>
  <c r="M174" i="2"/>
  <c r="AB173" i="2"/>
  <c r="M173" i="2"/>
  <c r="AB172" i="2"/>
  <c r="M172" i="2"/>
  <c r="AB171" i="2"/>
  <c r="M171" i="2"/>
  <c r="AB170" i="2"/>
  <c r="M170" i="2"/>
  <c r="AB169" i="2"/>
  <c r="M169" i="2"/>
  <c r="AB168" i="2"/>
  <c r="M168" i="2"/>
  <c r="AB167" i="2"/>
  <c r="M167" i="2"/>
  <c r="AB166" i="2"/>
  <c r="M166" i="2"/>
  <c r="AB165" i="2"/>
  <c r="M165" i="2"/>
  <c r="AB164" i="2"/>
  <c r="M164" i="2"/>
  <c r="AB29" i="2"/>
  <c r="M29" i="2"/>
  <c r="AJ51" i="10"/>
  <c r="AK51" i="10" s="1"/>
  <c r="AH50" i="10" l="1"/>
  <c r="AI50" i="10" s="1"/>
  <c r="AH51" i="10"/>
  <c r="AI51" i="10" s="1"/>
  <c r="O217" i="11"/>
  <c r="S50" i="10"/>
  <c r="S51" i="10" s="1"/>
  <c r="S52" i="10" s="1"/>
  <c r="S53" i="10" s="1"/>
  <c r="S54" i="10" s="1"/>
  <c r="O50" i="10"/>
  <c r="P50" i="10" s="1"/>
  <c r="O220" i="11"/>
  <c r="O51" i="10"/>
  <c r="O206" i="11"/>
  <c r="T54" i="10" l="1"/>
  <c r="T53" i="10"/>
  <c r="O48" i="10"/>
  <c r="P48" i="10" s="1"/>
  <c r="T52" i="10"/>
  <c r="T50" i="10"/>
  <c r="T51" i="10"/>
  <c r="P51" i="10"/>
  <c r="P220" i="11"/>
  <c r="P217" i="11"/>
  <c r="S217" i="11"/>
  <c r="S218" i="11" l="1"/>
  <c r="T217" i="11"/>
  <c r="P206" i="11"/>
  <c r="T218" i="11" l="1"/>
  <c r="S219" i="11"/>
  <c r="T219" i="11" l="1"/>
  <c r="S220" i="11"/>
  <c r="S221" i="11" l="1"/>
  <c r="T220" i="11"/>
  <c r="P509" i="4"/>
  <c r="G509" i="4"/>
  <c r="P507" i="4"/>
  <c r="G507" i="4"/>
  <c r="T221" i="11" l="1"/>
  <c r="S222" i="11"/>
  <c r="S223" i="11" s="1"/>
  <c r="T223" i="11" l="1"/>
  <c r="S224" i="11"/>
  <c r="T222" i="11"/>
  <c r="P506" i="4"/>
  <c r="G506" i="4"/>
  <c r="T224" i="11" l="1"/>
  <c r="S225" i="11"/>
  <c r="AJ48" i="10" l="1"/>
  <c r="AK48" i="10" s="1"/>
  <c r="T225" i="11"/>
  <c r="S226" i="11"/>
  <c r="S227" i="11" l="1"/>
  <c r="S228" i="11" s="1"/>
  <c r="T226" i="11"/>
  <c r="T228" i="11" l="1"/>
  <c r="S229" i="11"/>
  <c r="T227" i="11"/>
  <c r="S230" i="11" l="1"/>
  <c r="T229" i="11"/>
  <c r="G500" i="4"/>
  <c r="P500" i="4"/>
  <c r="G501" i="4"/>
  <c r="P501" i="4"/>
  <c r="G502" i="4"/>
  <c r="P502" i="4"/>
  <c r="G503" i="4"/>
  <c r="P503" i="4"/>
  <c r="G504" i="4"/>
  <c r="P504" i="4"/>
  <c r="S231" i="11" l="1"/>
  <c r="S232" i="11" s="1"/>
  <c r="S233" i="11" s="1"/>
  <c r="T230" i="11"/>
  <c r="P498" i="4"/>
  <c r="P499" i="4"/>
  <c r="T233" i="11" l="1"/>
  <c r="S234" i="11"/>
  <c r="T232" i="11"/>
  <c r="T231" i="11"/>
  <c r="T234" i="11" l="1"/>
  <c r="S235" i="11"/>
  <c r="T235" i="11" l="1"/>
  <c r="G494" i="4" l="1"/>
  <c r="P494" i="4"/>
  <c r="G495" i="4"/>
  <c r="P495" i="4"/>
  <c r="G496" i="4"/>
  <c r="P496" i="4"/>
  <c r="P493" i="4"/>
  <c r="G493" i="4"/>
  <c r="P492" i="4" l="1"/>
  <c r="G492" i="4"/>
  <c r="P491" i="4"/>
  <c r="G491" i="4"/>
  <c r="P490" i="4"/>
  <c r="G490" i="4"/>
  <c r="P489" i="4"/>
  <c r="G489" i="4"/>
  <c r="P487" i="4"/>
  <c r="P485" i="4"/>
  <c r="G485" i="4"/>
  <c r="P484" i="4"/>
  <c r="G484" i="4"/>
  <c r="P483" i="4"/>
  <c r="G483" i="4"/>
  <c r="P481" i="4" l="1"/>
  <c r="G481" i="4"/>
  <c r="BK4" i="10"/>
  <c r="AH48" i="10"/>
  <c r="AH49" i="10"/>
  <c r="P480" i="4"/>
  <c r="G480" i="4"/>
  <c r="G479" i="4"/>
  <c r="P479" i="4"/>
  <c r="P478" i="4"/>
  <c r="G478" i="4"/>
  <c r="O202" i="11" l="1"/>
  <c r="P202" i="11" s="1"/>
  <c r="O204" i="11"/>
  <c r="O203" i="11"/>
  <c r="P203" i="11" s="1"/>
  <c r="AI48" i="10"/>
  <c r="AI49" i="10"/>
  <c r="O201" i="11" l="1"/>
  <c r="P201" i="11" s="1"/>
  <c r="P204" i="11"/>
  <c r="P477" i="4" l="1"/>
  <c r="G477" i="4"/>
  <c r="P476" i="4"/>
  <c r="G476" i="4"/>
  <c r="P475" i="4" l="1"/>
  <c r="G475" i="4"/>
  <c r="Q469" i="4" l="1"/>
  <c r="P474" i="4" l="1"/>
  <c r="P473" i="4"/>
  <c r="G473" i="4"/>
  <c r="P472" i="4"/>
  <c r="G472" i="4"/>
  <c r="P471" i="4"/>
  <c r="G471" i="4"/>
  <c r="P468" i="4"/>
  <c r="G468" i="4"/>
  <c r="P467" i="4"/>
  <c r="G467" i="4"/>
  <c r="P466" i="4"/>
  <c r="G466" i="4"/>
  <c r="P465" i="4"/>
  <c r="G465" i="4"/>
  <c r="P464" i="4"/>
  <c r="G464" i="4"/>
  <c r="P463" i="4"/>
  <c r="G463" i="4"/>
  <c r="P462" i="4"/>
  <c r="G462" i="4"/>
  <c r="P461" i="4"/>
  <c r="G461" i="4"/>
  <c r="G458" i="4"/>
  <c r="G456" i="4"/>
  <c r="G455" i="4"/>
  <c r="Q453" i="4"/>
  <c r="P452" i="4"/>
  <c r="G452" i="4"/>
  <c r="P451" i="4"/>
  <c r="G451" i="4"/>
  <c r="P450" i="4"/>
  <c r="G450" i="4"/>
  <c r="G440" i="4"/>
  <c r="P440" i="4"/>
  <c r="G441" i="4"/>
  <c r="P441" i="4"/>
  <c r="G442" i="4"/>
  <c r="P442" i="4"/>
  <c r="G443" i="4"/>
  <c r="P443" i="4"/>
  <c r="G444" i="4"/>
  <c r="P444" i="4"/>
  <c r="G445" i="4"/>
  <c r="P445" i="4"/>
  <c r="G446" i="4"/>
  <c r="P446" i="4"/>
  <c r="P439" i="4"/>
  <c r="G439" i="4"/>
  <c r="P438" i="4"/>
  <c r="G438" i="4"/>
  <c r="G436" i="4"/>
  <c r="P436" i="4"/>
  <c r="G437" i="4"/>
  <c r="P437" i="4"/>
  <c r="P435" i="4"/>
  <c r="G435" i="4"/>
  <c r="P433" i="4"/>
  <c r="G433" i="4"/>
  <c r="P432" i="4"/>
  <c r="G432" i="4"/>
  <c r="P431" i="4"/>
  <c r="G431" i="4"/>
  <c r="P430" i="4"/>
  <c r="G430" i="4"/>
  <c r="P427" i="4"/>
  <c r="G427" i="4"/>
  <c r="P426" i="4"/>
  <c r="G426" i="4"/>
  <c r="P425" i="4"/>
  <c r="G425" i="4"/>
  <c r="P424" i="4"/>
  <c r="G424" i="4"/>
  <c r="P423" i="4"/>
  <c r="G423" i="4"/>
  <c r="P422" i="4"/>
  <c r="G422" i="4"/>
  <c r="P421" i="4"/>
  <c r="G421" i="4"/>
  <c r="P420" i="4"/>
  <c r="G420" i="4"/>
  <c r="P419" i="4"/>
  <c r="G419" i="4"/>
  <c r="P416" i="4"/>
  <c r="G416" i="4"/>
  <c r="P415" i="4"/>
  <c r="G415" i="4"/>
  <c r="P413" i="4"/>
  <c r="G413" i="4"/>
  <c r="P410" i="4"/>
  <c r="G410" i="4"/>
  <c r="P409" i="4"/>
  <c r="G409" i="4"/>
  <c r="P408" i="4"/>
  <c r="G408" i="4"/>
  <c r="P407" i="4"/>
  <c r="G407" i="4"/>
  <c r="P406" i="4"/>
  <c r="G406" i="4"/>
  <c r="P405" i="4"/>
  <c r="G405" i="4"/>
  <c r="P404" i="4"/>
  <c r="G404" i="4"/>
  <c r="P402" i="4"/>
  <c r="G402" i="4"/>
  <c r="P401" i="4"/>
  <c r="G401" i="4"/>
  <c r="P400" i="4"/>
  <c r="G400" i="4"/>
  <c r="P399" i="4"/>
  <c r="G399" i="4"/>
  <c r="P398" i="4"/>
  <c r="G398" i="4"/>
  <c r="P397" i="4"/>
  <c r="G397" i="4"/>
  <c r="P395" i="4"/>
  <c r="G395" i="4"/>
  <c r="P394" i="4"/>
  <c r="G394" i="4"/>
  <c r="P393" i="4"/>
  <c r="G393" i="4"/>
  <c r="P392" i="4"/>
  <c r="G392" i="4"/>
  <c r="P391" i="4"/>
  <c r="G391" i="4"/>
  <c r="P390" i="4"/>
  <c r="G390" i="4"/>
  <c r="P388" i="4"/>
  <c r="G388" i="4"/>
  <c r="P386" i="4"/>
  <c r="G386" i="4"/>
  <c r="P385" i="4"/>
  <c r="G385" i="4"/>
  <c r="P383" i="4"/>
  <c r="O384" i="4"/>
  <c r="P384" i="4" s="1"/>
  <c r="G384" i="4"/>
  <c r="P382" i="4"/>
  <c r="P381" i="4"/>
  <c r="G381" i="4"/>
  <c r="P380" i="4"/>
  <c r="G380" i="4"/>
  <c r="P379" i="4"/>
  <c r="G379" i="4"/>
  <c r="P378" i="4"/>
  <c r="G378" i="4"/>
  <c r="P377" i="4"/>
  <c r="G377" i="4"/>
  <c r="P376" i="4"/>
  <c r="G376" i="4"/>
  <c r="P375" i="4"/>
  <c r="G375" i="4"/>
  <c r="P374" i="4"/>
  <c r="G374" i="4"/>
  <c r="P373" i="4"/>
  <c r="G373" i="4"/>
  <c r="P372" i="4"/>
  <c r="G372" i="4"/>
  <c r="P371" i="4"/>
  <c r="G371" i="4"/>
  <c r="P370" i="4"/>
  <c r="G370" i="4"/>
  <c r="P369" i="4"/>
  <c r="G369" i="4"/>
  <c r="O368" i="4"/>
  <c r="P368" i="4" s="1"/>
  <c r="G368" i="4"/>
  <c r="P327" i="4"/>
  <c r="G327" i="4"/>
  <c r="G367" i="4"/>
  <c r="P365" i="4"/>
  <c r="G365" i="4"/>
  <c r="P460" i="4"/>
  <c r="G460" i="4"/>
  <c r="P459" i="4"/>
  <c r="G459" i="4"/>
  <c r="P458" i="4"/>
  <c r="P457" i="4"/>
  <c r="G457" i="4"/>
  <c r="P456" i="4"/>
  <c r="P455" i="4"/>
  <c r="P454" i="4"/>
  <c r="G454" i="4"/>
  <c r="P453" i="4"/>
  <c r="G453" i="4"/>
  <c r="P434" i="4"/>
  <c r="G434" i="4"/>
  <c r="P429" i="4"/>
  <c r="G429" i="4"/>
  <c r="P428" i="4"/>
  <c r="G428" i="4"/>
  <c r="P418" i="4"/>
  <c r="G418" i="4"/>
  <c r="P417" i="4"/>
  <c r="G417" i="4"/>
  <c r="P414" i="4"/>
  <c r="G414" i="4"/>
  <c r="P412" i="4"/>
  <c r="G412" i="4"/>
  <c r="P411" i="4"/>
  <c r="G411" i="4"/>
  <c r="P403" i="4"/>
  <c r="G403" i="4"/>
  <c r="P396" i="4"/>
  <c r="G396" i="4"/>
  <c r="P389" i="4"/>
  <c r="G389" i="4"/>
  <c r="P387" i="4"/>
  <c r="G387" i="4"/>
  <c r="G383" i="4"/>
  <c r="G382" i="4"/>
  <c r="P505" i="4"/>
  <c r="G505" i="4"/>
  <c r="P497" i="4"/>
  <c r="P488" i="4"/>
  <c r="G488" i="4"/>
  <c r="P482" i="4"/>
  <c r="G482" i="4"/>
  <c r="P470" i="4"/>
  <c r="G470" i="4"/>
  <c r="P469" i="4"/>
  <c r="G469" i="4"/>
  <c r="P364" i="4"/>
  <c r="G364" i="4"/>
  <c r="P363" i="4"/>
  <c r="G363" i="4"/>
  <c r="P362" i="4"/>
  <c r="G362" i="4"/>
  <c r="P361" i="4"/>
  <c r="G361" i="4"/>
  <c r="P360" i="4"/>
  <c r="G360" i="4"/>
  <c r="P359" i="4"/>
  <c r="G359" i="4"/>
  <c r="P358" i="4"/>
  <c r="G358" i="4"/>
  <c r="P357" i="4"/>
  <c r="G357" i="4"/>
  <c r="P356" i="4"/>
  <c r="G356" i="4"/>
  <c r="P355" i="4"/>
  <c r="G355" i="4"/>
  <c r="P354" i="4"/>
  <c r="G354" i="4"/>
  <c r="P353" i="4"/>
  <c r="G353" i="4"/>
  <c r="P351" i="4"/>
  <c r="G351" i="4"/>
  <c r="P349" i="4"/>
  <c r="G349" i="4"/>
  <c r="P348" i="4"/>
  <c r="G348" i="4"/>
  <c r="P520" i="4"/>
  <c r="P519" i="4"/>
  <c r="P518" i="4"/>
  <c r="P517" i="4"/>
  <c r="P516" i="4"/>
  <c r="P510" i="4"/>
  <c r="G510" i="4"/>
  <c r="P508" i="4"/>
  <c r="G508" i="4"/>
  <c r="P367" i="4"/>
  <c r="P366" i="4"/>
  <c r="G366" i="4"/>
  <c r="P352" i="4"/>
  <c r="G352" i="4"/>
  <c r="P350" i="4"/>
  <c r="G350" i="4"/>
  <c r="P610" i="4"/>
  <c r="G610" i="4"/>
  <c r="P609" i="4"/>
  <c r="G609" i="4"/>
  <c r="P608" i="4"/>
  <c r="G608" i="4"/>
  <c r="P607" i="4"/>
  <c r="G607" i="4"/>
  <c r="P606" i="4"/>
  <c r="G606" i="4"/>
  <c r="P605" i="4"/>
  <c r="G605" i="4"/>
  <c r="P604" i="4"/>
  <c r="G604" i="4"/>
  <c r="P603" i="4"/>
  <c r="G603" i="4"/>
  <c r="P602" i="4"/>
  <c r="G602" i="4"/>
  <c r="P601" i="4"/>
  <c r="G601" i="4"/>
  <c r="P526" i="4"/>
  <c r="P347" i="4"/>
  <c r="G347" i="4"/>
  <c r="P346" i="4"/>
  <c r="G346" i="4"/>
  <c r="P345" i="4"/>
  <c r="G345" i="4"/>
  <c r="P343" i="4"/>
  <c r="G343" i="4"/>
  <c r="P342" i="4"/>
  <c r="G342" i="4"/>
  <c r="P341" i="4"/>
  <c r="G341" i="4"/>
  <c r="P340" i="4"/>
  <c r="G340" i="4"/>
  <c r="P339" i="4"/>
  <c r="G339" i="4"/>
  <c r="P338" i="4"/>
  <c r="G338" i="4"/>
  <c r="P337" i="4"/>
  <c r="G337" i="4"/>
  <c r="G336" i="4"/>
  <c r="P334" i="4"/>
  <c r="G334" i="4"/>
  <c r="P331" i="4"/>
  <c r="G331" i="4"/>
  <c r="P330" i="4"/>
  <c r="G330" i="4"/>
  <c r="P328" i="4"/>
  <c r="P329" i="4"/>
  <c r="G329" i="4"/>
  <c r="G328" i="4"/>
  <c r="P326" i="4"/>
  <c r="G326" i="4"/>
  <c r="P325" i="4"/>
  <c r="G325" i="4"/>
  <c r="P324" i="4"/>
  <c r="G324" i="4"/>
  <c r="P323" i="4"/>
  <c r="G323" i="4"/>
  <c r="P322" i="4"/>
  <c r="G322" i="4"/>
  <c r="P321" i="4"/>
  <c r="G321" i="4"/>
  <c r="P320" i="4"/>
  <c r="G320" i="4"/>
  <c r="Q319" i="4"/>
  <c r="P319" i="4"/>
  <c r="G319" i="4"/>
  <c r="P317" i="4"/>
  <c r="G317" i="4"/>
  <c r="P316" i="4"/>
  <c r="G316" i="4"/>
  <c r="P314" i="4"/>
  <c r="G314" i="4"/>
  <c r="P313" i="4"/>
  <c r="G313" i="4"/>
  <c r="P310" i="4"/>
  <c r="P309" i="4"/>
  <c r="G309" i="4"/>
  <c r="P303" i="4"/>
  <c r="G303" i="4"/>
  <c r="P302" i="4"/>
  <c r="G302" i="4"/>
  <c r="P304" i="4"/>
  <c r="G304" i="4"/>
  <c r="P306" i="4"/>
  <c r="G306" i="4"/>
  <c r="P307" i="4"/>
  <c r="G307" i="4"/>
  <c r="P300" i="4"/>
  <c r="P301" i="4"/>
  <c r="P332" i="4"/>
  <c r="G332" i="4"/>
  <c r="P318" i="4"/>
  <c r="G318" i="4"/>
  <c r="P315" i="4"/>
  <c r="G315" i="4"/>
  <c r="P312" i="4"/>
  <c r="G312" i="4"/>
  <c r="P311" i="4"/>
  <c r="G311" i="4"/>
  <c r="P308" i="4"/>
  <c r="G308" i="4"/>
  <c r="P305" i="4"/>
  <c r="G305" i="4"/>
  <c r="P299" i="4"/>
  <c r="G299" i="4"/>
  <c r="P298" i="4"/>
  <c r="G298" i="4"/>
  <c r="P297" i="4"/>
  <c r="G297" i="4"/>
  <c r="P626" i="4"/>
  <c r="G626" i="4"/>
  <c r="P625" i="4"/>
  <c r="G625" i="4"/>
  <c r="P624" i="4"/>
  <c r="G624" i="4"/>
  <c r="P623" i="4"/>
  <c r="G623" i="4"/>
  <c r="P622" i="4"/>
  <c r="G622" i="4"/>
  <c r="P621" i="4"/>
  <c r="G621" i="4"/>
  <c r="P620" i="4"/>
  <c r="G620" i="4"/>
  <c r="P619" i="4"/>
  <c r="G619" i="4"/>
  <c r="P618" i="4"/>
  <c r="G618" i="4"/>
  <c r="P617" i="4"/>
  <c r="G617" i="4"/>
  <c r="P616" i="4"/>
  <c r="G616" i="4"/>
  <c r="P615" i="4"/>
  <c r="G615" i="4"/>
  <c r="P614" i="4"/>
  <c r="G614" i="4"/>
  <c r="P613" i="4"/>
  <c r="G613" i="4"/>
  <c r="P612" i="4"/>
  <c r="G612" i="4"/>
  <c r="P611" i="4"/>
  <c r="G611" i="4"/>
  <c r="P521" i="4"/>
  <c r="G521" i="4"/>
  <c r="P344" i="4"/>
  <c r="G344" i="4"/>
  <c r="P335" i="4"/>
  <c r="G335" i="4"/>
  <c r="P296" i="4"/>
  <c r="G296" i="4"/>
  <c r="P295" i="4"/>
  <c r="G295" i="4"/>
  <c r="P184" i="4"/>
  <c r="G184" i="4"/>
  <c r="P288" i="4"/>
  <c r="G288" i="4"/>
  <c r="P285" i="4"/>
  <c r="G285" i="4"/>
  <c r="P284" i="4"/>
  <c r="G284" i="4"/>
  <c r="P283" i="4"/>
  <c r="G283" i="4"/>
  <c r="P282" i="4"/>
  <c r="G282" i="4"/>
  <c r="O159" i="11"/>
  <c r="P280" i="4"/>
  <c r="G280" i="4"/>
  <c r="G279" i="4"/>
  <c r="P277" i="4"/>
  <c r="G277" i="4"/>
  <c r="P275" i="4"/>
  <c r="G275" i="4"/>
  <c r="P273" i="4"/>
  <c r="G273" i="4"/>
  <c r="P271" i="4"/>
  <c r="G271" i="4"/>
  <c r="P270" i="4"/>
  <c r="G270" i="4"/>
  <c r="P260" i="4"/>
  <c r="P261" i="4"/>
  <c r="G261" i="4"/>
  <c r="G260" i="4"/>
  <c r="P259" i="4"/>
  <c r="G259" i="4"/>
  <c r="P257" i="4"/>
  <c r="G257" i="4"/>
  <c r="P256" i="4"/>
  <c r="G256" i="4"/>
  <c r="P258" i="4"/>
  <c r="G258" i="4"/>
  <c r="P269" i="4"/>
  <c r="G269" i="4"/>
  <c r="P268" i="4"/>
  <c r="G268" i="4"/>
  <c r="P290" i="4"/>
  <c r="G290" i="4"/>
  <c r="P289" i="4"/>
  <c r="G289" i="4"/>
  <c r="P287" i="4"/>
  <c r="G287" i="4"/>
  <c r="P286" i="4"/>
  <c r="G286" i="4"/>
  <c r="P281" i="4"/>
  <c r="G281" i="4"/>
  <c r="P279" i="4"/>
  <c r="P278" i="4"/>
  <c r="G278" i="4"/>
  <c r="P276" i="4"/>
  <c r="G276" i="4"/>
  <c r="P274" i="4"/>
  <c r="G274" i="4"/>
  <c r="P272" i="4"/>
  <c r="G272" i="4"/>
  <c r="P333" i="4"/>
  <c r="G333" i="4"/>
  <c r="P294" i="4"/>
  <c r="G294" i="4"/>
  <c r="P293" i="4"/>
  <c r="G293" i="4"/>
  <c r="P292" i="4"/>
  <c r="G292" i="4"/>
  <c r="P291" i="4"/>
  <c r="G291" i="4"/>
  <c r="P267" i="4"/>
  <c r="G267" i="4"/>
  <c r="P266" i="4"/>
  <c r="G266" i="4"/>
  <c r="P265" i="4"/>
  <c r="G265" i="4"/>
  <c r="P264" i="4"/>
  <c r="G264" i="4"/>
  <c r="P263" i="4"/>
  <c r="Q236" i="4"/>
  <c r="P255" i="4"/>
  <c r="G255" i="4"/>
  <c r="P254" i="4"/>
  <c r="G254" i="4"/>
  <c r="P253" i="4"/>
  <c r="G253" i="4"/>
  <c r="P252" i="4"/>
  <c r="G252" i="4"/>
  <c r="P251" i="4"/>
  <c r="G251" i="4"/>
  <c r="P249" i="4"/>
  <c r="G249" i="4"/>
  <c r="G246" i="4"/>
  <c r="G245" i="4"/>
  <c r="G244" i="4"/>
  <c r="G243" i="4"/>
  <c r="G241" i="4"/>
  <c r="P231" i="4"/>
  <c r="G231" i="4"/>
  <c r="P234" i="4"/>
  <c r="G234" i="4"/>
  <c r="P233" i="4"/>
  <c r="G233" i="4"/>
  <c r="Q232" i="4"/>
  <c r="P229" i="4"/>
  <c r="G229" i="4"/>
  <c r="P228" i="4"/>
  <c r="G228" i="4"/>
  <c r="P227" i="4"/>
  <c r="G227" i="4"/>
  <c r="P225" i="4"/>
  <c r="G225" i="4"/>
  <c r="P224" i="4"/>
  <c r="G224" i="4"/>
  <c r="P222" i="4"/>
  <c r="G222" i="4"/>
  <c r="P221" i="4"/>
  <c r="G221" i="4"/>
  <c r="P220" i="4"/>
  <c r="G220" i="4"/>
  <c r="P218" i="4"/>
  <c r="G218" i="4"/>
  <c r="P217" i="4"/>
  <c r="G217" i="4"/>
  <c r="P216" i="4"/>
  <c r="G216" i="4"/>
  <c r="P215" i="4"/>
  <c r="G215" i="4"/>
  <c r="P214" i="4"/>
  <c r="G214" i="4"/>
  <c r="P213" i="4"/>
  <c r="G213" i="4"/>
  <c r="P212" i="4"/>
  <c r="G212" i="4"/>
  <c r="P211" i="4"/>
  <c r="G211" i="4"/>
  <c r="P209" i="4"/>
  <c r="G209" i="4"/>
  <c r="P206" i="4"/>
  <c r="G206" i="4"/>
  <c r="P202" i="4"/>
  <c r="G202" i="4"/>
  <c r="P199" i="4"/>
  <c r="G199" i="4"/>
  <c r="P198" i="4"/>
  <c r="G198" i="4"/>
  <c r="P197" i="4"/>
  <c r="G197" i="4"/>
  <c r="P196" i="4"/>
  <c r="G196" i="4"/>
  <c r="P195" i="4"/>
  <c r="G195" i="4"/>
  <c r="Q194" i="4"/>
  <c r="P191" i="4"/>
  <c r="G191" i="4"/>
  <c r="P189" i="4"/>
  <c r="G189" i="4"/>
  <c r="G187" i="4"/>
  <c r="P185" i="4"/>
  <c r="G185" i="4"/>
  <c r="P183" i="4"/>
  <c r="G183" i="4"/>
  <c r="P181" i="4"/>
  <c r="G181" i="4"/>
  <c r="P179" i="4"/>
  <c r="G179" i="4"/>
  <c r="G178" i="4"/>
  <c r="P178" i="4"/>
  <c r="P177" i="4"/>
  <c r="G177" i="4"/>
  <c r="P176" i="4"/>
  <c r="G176" i="4"/>
  <c r="P175" i="4"/>
  <c r="G175" i="4"/>
  <c r="P174" i="4"/>
  <c r="G174" i="4"/>
  <c r="P173" i="4"/>
  <c r="G173" i="4"/>
  <c r="P172" i="4"/>
  <c r="G172" i="4"/>
  <c r="P171" i="4"/>
  <c r="G171" i="4"/>
  <c r="P170" i="4"/>
  <c r="G170" i="4"/>
  <c r="P166" i="4"/>
  <c r="G166" i="4"/>
  <c r="P165" i="4"/>
  <c r="G165" i="4"/>
  <c r="P164" i="4"/>
  <c r="G164" i="4"/>
  <c r="G160" i="4"/>
  <c r="P160" i="4"/>
  <c r="P163" i="4"/>
  <c r="G163" i="4"/>
  <c r="P162" i="4"/>
  <c r="G162" i="4"/>
  <c r="P161" i="4"/>
  <c r="G161" i="4"/>
  <c r="P159" i="4"/>
  <c r="G159" i="4"/>
  <c r="P158" i="4"/>
  <c r="G158" i="4"/>
  <c r="P157" i="4"/>
  <c r="G157" i="4"/>
  <c r="P156" i="4"/>
  <c r="G156" i="4"/>
  <c r="P155" i="4"/>
  <c r="G155" i="4"/>
  <c r="P154" i="4"/>
  <c r="G154" i="4"/>
  <c r="P153" i="4"/>
  <c r="G153" i="4"/>
  <c r="G628" i="4"/>
  <c r="G627" i="4"/>
  <c r="G263" i="4"/>
  <c r="G262" i="4"/>
  <c r="G250" i="4"/>
  <c r="G248" i="4"/>
  <c r="G247" i="4"/>
  <c r="G242" i="4"/>
  <c r="G240" i="4"/>
  <c r="G239" i="4"/>
  <c r="G238" i="4"/>
  <c r="G237" i="4"/>
  <c r="G235" i="4"/>
  <c r="G232" i="4"/>
  <c r="G230" i="4"/>
  <c r="G226" i="4"/>
  <c r="G223" i="4"/>
  <c r="G219" i="4"/>
  <c r="G210" i="4"/>
  <c r="G208" i="4"/>
  <c r="G207" i="4"/>
  <c r="G205" i="4"/>
  <c r="G204" i="4"/>
  <c r="G203" i="4"/>
  <c r="G201" i="4"/>
  <c r="G200" i="4"/>
  <c r="G194" i="4"/>
  <c r="G193" i="4"/>
  <c r="G192" i="4"/>
  <c r="G190" i="4"/>
  <c r="G188" i="4"/>
  <c r="G186" i="4"/>
  <c r="G182" i="4"/>
  <c r="G180" i="4"/>
  <c r="G169" i="4"/>
  <c r="G168" i="4"/>
  <c r="G167"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M3" i="2"/>
  <c r="P152" i="4"/>
  <c r="P151" i="4"/>
  <c r="P150" i="4"/>
  <c r="P148" i="4"/>
  <c r="P147" i="4"/>
  <c r="P146" i="4"/>
  <c r="P145" i="4"/>
  <c r="P134" i="4"/>
  <c r="P144" i="4"/>
  <c r="P143" i="4"/>
  <c r="P142" i="4"/>
  <c r="P141" i="4"/>
  <c r="P140" i="4"/>
  <c r="P139" i="4"/>
  <c r="P138" i="4"/>
  <c r="P137" i="4"/>
  <c r="P136" i="4"/>
  <c r="P135" i="4"/>
  <c r="P133" i="4"/>
  <c r="P131" i="4"/>
  <c r="P130" i="4"/>
  <c r="P128" i="4"/>
  <c r="P127" i="4"/>
  <c r="P126" i="4"/>
  <c r="P125" i="4"/>
  <c r="P124" i="4"/>
  <c r="P123" i="4"/>
  <c r="P122" i="4"/>
  <c r="P121" i="4"/>
  <c r="P119" i="4"/>
  <c r="P118" i="4"/>
  <c r="P117" i="4"/>
  <c r="P116" i="4"/>
  <c r="P115" i="4"/>
  <c r="P111" i="4"/>
  <c r="P110" i="4"/>
  <c r="P109" i="4"/>
  <c r="P108" i="4"/>
  <c r="P106" i="4"/>
  <c r="P105" i="4"/>
  <c r="P104" i="4"/>
  <c r="P103" i="4"/>
  <c r="P102" i="4"/>
  <c r="P101" i="4"/>
  <c r="P98" i="4"/>
  <c r="P99" i="4"/>
  <c r="P94" i="4"/>
  <c r="P92" i="4"/>
  <c r="P91" i="4"/>
  <c r="P88" i="4"/>
  <c r="P87" i="4"/>
  <c r="P85" i="4"/>
  <c r="P84" i="4"/>
  <c r="P83" i="4"/>
  <c r="P81" i="4"/>
  <c r="P80" i="4"/>
  <c r="P77" i="4"/>
  <c r="P76" i="4"/>
  <c r="P73" i="4"/>
  <c r="P72" i="4"/>
  <c r="P71" i="4"/>
  <c r="P70" i="4"/>
  <c r="P66" i="4"/>
  <c r="P65" i="4"/>
  <c r="P64" i="4"/>
  <c r="P63" i="4"/>
  <c r="P62" i="4"/>
  <c r="P61" i="4"/>
  <c r="P60" i="4"/>
  <c r="P59" i="4"/>
  <c r="P58" i="4"/>
  <c r="P56" i="4"/>
  <c r="P55" i="4"/>
  <c r="P54" i="4"/>
  <c r="P53" i="4"/>
  <c r="P52" i="4"/>
  <c r="P51" i="4"/>
  <c r="P43" i="4"/>
  <c r="P42" i="4"/>
  <c r="O92" i="11"/>
  <c r="P41" i="4"/>
  <c r="P40" i="4"/>
  <c r="P39" i="4"/>
  <c r="P35" i="4"/>
  <c r="P34" i="4"/>
  <c r="P27" i="4"/>
  <c r="P26" i="4"/>
  <c r="P22" i="4"/>
  <c r="P19" i="4"/>
  <c r="P628" i="4"/>
  <c r="P627" i="4"/>
  <c r="P262" i="4"/>
  <c r="P250" i="4"/>
  <c r="P248" i="4"/>
  <c r="P247" i="4"/>
  <c r="P246" i="4"/>
  <c r="P245" i="4"/>
  <c r="P244" i="4"/>
  <c r="P243" i="4"/>
  <c r="P242" i="4"/>
  <c r="P241" i="4"/>
  <c r="P240" i="4"/>
  <c r="P239" i="4"/>
  <c r="P238" i="4"/>
  <c r="P237" i="4"/>
  <c r="P236" i="4"/>
  <c r="P232" i="4"/>
  <c r="P230" i="4"/>
  <c r="P226" i="4"/>
  <c r="P223" i="4"/>
  <c r="P219" i="4"/>
  <c r="P210" i="4"/>
  <c r="P208" i="4"/>
  <c r="P207" i="4"/>
  <c r="P205" i="4"/>
  <c r="P204" i="4"/>
  <c r="P203" i="4"/>
  <c r="P201" i="4"/>
  <c r="P200" i="4"/>
  <c r="P194" i="4"/>
  <c r="P193" i="4"/>
  <c r="P192" i="4"/>
  <c r="P190" i="4"/>
  <c r="P188" i="4"/>
  <c r="P187" i="4"/>
  <c r="P186" i="4"/>
  <c r="P182" i="4"/>
  <c r="P180" i="4"/>
  <c r="P169" i="4"/>
  <c r="P168" i="4"/>
  <c r="P167" i="4"/>
  <c r="P149" i="4"/>
  <c r="P132" i="4"/>
  <c r="P129" i="4"/>
  <c r="P120" i="4"/>
  <c r="P114" i="4"/>
  <c r="P113" i="4"/>
  <c r="P112" i="4"/>
  <c r="P107" i="4"/>
  <c r="P100" i="4"/>
  <c r="P97" i="4"/>
  <c r="P96" i="4"/>
  <c r="P95" i="4"/>
  <c r="P93" i="4"/>
  <c r="P90" i="4"/>
  <c r="P89" i="4"/>
  <c r="P86" i="4"/>
  <c r="P82" i="4"/>
  <c r="P79" i="4"/>
  <c r="P78" i="4"/>
  <c r="P75" i="4"/>
  <c r="P74" i="4"/>
  <c r="P69" i="4"/>
  <c r="P68" i="4"/>
  <c r="P67" i="4"/>
  <c r="P57" i="4"/>
  <c r="P50" i="4"/>
  <c r="P49" i="4"/>
  <c r="P48" i="4"/>
  <c r="P47" i="4"/>
  <c r="P46" i="4"/>
  <c r="P45" i="4"/>
  <c r="P44" i="4"/>
  <c r="P38" i="4"/>
  <c r="P37" i="4"/>
  <c r="P36" i="4"/>
  <c r="P33" i="4"/>
  <c r="P32" i="4"/>
  <c r="P31" i="4"/>
  <c r="P30" i="4"/>
  <c r="P29" i="4"/>
  <c r="P28" i="4"/>
  <c r="P25" i="4"/>
  <c r="P24" i="4"/>
  <c r="P23" i="4"/>
  <c r="P21" i="4"/>
  <c r="P20" i="4"/>
  <c r="P18" i="4"/>
  <c r="P17" i="4"/>
  <c r="P16" i="4"/>
  <c r="P15" i="4"/>
  <c r="P14" i="4"/>
  <c r="P13" i="4"/>
  <c r="P12" i="4"/>
  <c r="P11" i="4"/>
  <c r="P10" i="4"/>
  <c r="P9" i="4"/>
  <c r="P8" i="4"/>
  <c r="P7" i="4"/>
  <c r="P6" i="4"/>
  <c r="P5" i="4"/>
  <c r="P4" i="4"/>
  <c r="P3" i="4"/>
  <c r="O54" i="11"/>
  <c r="AB3" i="2"/>
  <c r="O199" i="11" l="1"/>
  <c r="P199" i="11" s="1"/>
  <c r="O41" i="10"/>
  <c r="Q53" i="10" s="1"/>
  <c r="R53" i="10" s="1"/>
  <c r="AJ46" i="10"/>
  <c r="AK46" i="10" s="1"/>
  <c r="AJ11" i="10"/>
  <c r="O37" i="11"/>
  <c r="O41" i="11"/>
  <c r="O103" i="11"/>
  <c r="O153" i="11"/>
  <c r="O50" i="11"/>
  <c r="O71" i="11"/>
  <c r="AJ20" i="10"/>
  <c r="O67" i="11"/>
  <c r="O44" i="11"/>
  <c r="O63" i="11"/>
  <c r="O173" i="11"/>
  <c r="Q226" i="11" s="1"/>
  <c r="R226" i="11" s="1"/>
  <c r="O16" i="11"/>
  <c r="O102" i="11"/>
  <c r="AJ43" i="10"/>
  <c r="AK43" i="10" s="1"/>
  <c r="AJ47" i="10"/>
  <c r="AK47" i="10" s="1"/>
  <c r="O45" i="11"/>
  <c r="O128" i="11"/>
  <c r="O94" i="11"/>
  <c r="O100" i="11"/>
  <c r="O148" i="11"/>
  <c r="O10" i="11"/>
  <c r="O118" i="11"/>
  <c r="O163" i="11"/>
  <c r="O172" i="11"/>
  <c r="Q225" i="11" s="1"/>
  <c r="R225" i="11" s="1"/>
  <c r="O175" i="11"/>
  <c r="Q228" i="11" s="1"/>
  <c r="R228" i="11" s="1"/>
  <c r="AJ30" i="10"/>
  <c r="AK30" i="10" s="1"/>
  <c r="O132" i="11"/>
  <c r="O135" i="11"/>
  <c r="O142" i="11"/>
  <c r="O184" i="11"/>
  <c r="O116" i="11"/>
  <c r="AJ44" i="10"/>
  <c r="AK44" i="10" s="1"/>
  <c r="O119" i="11"/>
  <c r="O138" i="11"/>
  <c r="O6" i="11"/>
  <c r="AJ24" i="10"/>
  <c r="O131" i="11"/>
  <c r="O133" i="11"/>
  <c r="O122" i="11"/>
  <c r="O174" i="11"/>
  <c r="Q227" i="11" s="1"/>
  <c r="R227" i="11" s="1"/>
  <c r="O52" i="11"/>
  <c r="O70" i="11"/>
  <c r="AJ18" i="10"/>
  <c r="O19" i="10"/>
  <c r="O79" i="11"/>
  <c r="O112" i="11"/>
  <c r="O27" i="10"/>
  <c r="AJ22" i="10"/>
  <c r="O97" i="11"/>
  <c r="O98" i="11"/>
  <c r="O110" i="11"/>
  <c r="O106" i="11"/>
  <c r="O126" i="11"/>
  <c r="O30" i="10"/>
  <c r="O125" i="11"/>
  <c r="O139" i="11"/>
  <c r="AJ35" i="10"/>
  <c r="AK35" i="10" s="1"/>
  <c r="O156" i="11"/>
  <c r="O177" i="11"/>
  <c r="Q230" i="11" s="1"/>
  <c r="R230" i="11" s="1"/>
  <c r="O42" i="10"/>
  <c r="Q54" i="10" s="1"/>
  <c r="R54" i="10" s="1"/>
  <c r="O181" i="11"/>
  <c r="Q234" i="11" s="1"/>
  <c r="R234" i="11" s="1"/>
  <c r="O188" i="11"/>
  <c r="O45" i="10"/>
  <c r="O192" i="11"/>
  <c r="O197" i="11"/>
  <c r="O4" i="10"/>
  <c r="O11" i="11"/>
  <c r="O35" i="11"/>
  <c r="O42" i="11"/>
  <c r="O43" i="11"/>
  <c r="O40" i="11"/>
  <c r="O12" i="10"/>
  <c r="O46" i="11"/>
  <c r="O48" i="11"/>
  <c r="AJ16" i="10"/>
  <c r="O68" i="11"/>
  <c r="O20" i="10"/>
  <c r="O83" i="11"/>
  <c r="O81" i="11"/>
  <c r="O22" i="10"/>
  <c r="O93" i="11"/>
  <c r="O109" i="11"/>
  <c r="O111" i="11"/>
  <c r="O137" i="11"/>
  <c r="AJ33" i="10"/>
  <c r="AK33" i="10" s="1"/>
  <c r="O34" i="10"/>
  <c r="O143" i="11"/>
  <c r="O146" i="11"/>
  <c r="O166" i="11"/>
  <c r="Q219" i="11" s="1"/>
  <c r="R219" i="11" s="1"/>
  <c r="O176" i="11"/>
  <c r="Q229" i="11" s="1"/>
  <c r="R229" i="11" s="1"/>
  <c r="O185" i="11"/>
  <c r="O44" i="10"/>
  <c r="O187" i="11"/>
  <c r="O195" i="11"/>
  <c r="O196" i="11"/>
  <c r="O46" i="10"/>
  <c r="S2" i="10"/>
  <c r="S3" i="10" s="1"/>
  <c r="S4" i="10" s="1"/>
  <c r="S5" i="10" s="1"/>
  <c r="S6" i="10" s="1"/>
  <c r="S7" i="10" s="1"/>
  <c r="S8" i="10" s="1"/>
  <c r="S9" i="10" s="1"/>
  <c r="S10" i="10" s="1"/>
  <c r="S11" i="10" s="1"/>
  <c r="S12" i="10" s="1"/>
  <c r="S13" i="10" s="1"/>
  <c r="O3" i="11"/>
  <c r="O2" i="10"/>
  <c r="O13" i="10"/>
  <c r="O53" i="11"/>
  <c r="O19" i="11"/>
  <c r="O26" i="11"/>
  <c r="O27" i="11"/>
  <c r="O29" i="11"/>
  <c r="O38" i="11"/>
  <c r="O11" i="10"/>
  <c r="AJ12" i="10"/>
  <c r="O47" i="11"/>
  <c r="O51" i="11"/>
  <c r="O59" i="11"/>
  <c r="O60" i="11"/>
  <c r="O65" i="11"/>
  <c r="O66" i="11"/>
  <c r="O58" i="11"/>
  <c r="O86" i="11"/>
  <c r="O21" i="10"/>
  <c r="O85" i="11"/>
  <c r="AJ26" i="10"/>
  <c r="AK26" i="10" s="1"/>
  <c r="O149" i="11"/>
  <c r="O35" i="10"/>
  <c r="O101" i="11"/>
  <c r="S26" i="10"/>
  <c r="S27" i="10" s="1"/>
  <c r="S28" i="10" s="1"/>
  <c r="S29" i="10" s="1"/>
  <c r="S30" i="10" s="1"/>
  <c r="S31" i="10" s="1"/>
  <c r="S32" i="10" s="1"/>
  <c r="S33" i="10" s="1"/>
  <c r="S34" i="10" s="1"/>
  <c r="S35" i="10" s="1"/>
  <c r="S36" i="10" s="1"/>
  <c r="S37" i="10" s="1"/>
  <c r="O108" i="11"/>
  <c r="Q108" i="11" s="1"/>
  <c r="O26" i="10"/>
  <c r="AJ27" i="10"/>
  <c r="AK27" i="10" s="1"/>
  <c r="O28" i="10"/>
  <c r="O117" i="11"/>
  <c r="O114" i="11"/>
  <c r="O121" i="11"/>
  <c r="O29" i="10"/>
  <c r="P29" i="10" s="1"/>
  <c r="O123" i="11"/>
  <c r="AJ32" i="10"/>
  <c r="AK32" i="10" s="1"/>
  <c r="O140" i="11"/>
  <c r="O145" i="11"/>
  <c r="Q145" i="11" s="1"/>
  <c r="O157" i="11"/>
  <c r="O40" i="10"/>
  <c r="Q52" i="10" s="1"/>
  <c r="R52" i="10" s="1"/>
  <c r="O170" i="11"/>
  <c r="Q223" i="11" s="1"/>
  <c r="R223" i="11" s="1"/>
  <c r="O171" i="11"/>
  <c r="Q224" i="11" s="1"/>
  <c r="R224" i="11" s="1"/>
  <c r="O178" i="11"/>
  <c r="Q231" i="11" s="1"/>
  <c r="R231" i="11" s="1"/>
  <c r="O183" i="11"/>
  <c r="O167" i="11"/>
  <c r="Q220" i="11" s="1"/>
  <c r="R220" i="11" s="1"/>
  <c r="O8" i="11"/>
  <c r="O12" i="11"/>
  <c r="O14" i="11"/>
  <c r="O18" i="11"/>
  <c r="O39" i="11"/>
  <c r="Q92" i="11" s="1"/>
  <c r="AJ13" i="10"/>
  <c r="AJ14" i="10"/>
  <c r="O61" i="11"/>
  <c r="O69" i="11"/>
  <c r="O74" i="11"/>
  <c r="O75" i="11"/>
  <c r="AJ19" i="10"/>
  <c r="O89" i="11"/>
  <c r="O90" i="11"/>
  <c r="O23" i="10"/>
  <c r="O95" i="11"/>
  <c r="O113" i="11"/>
  <c r="AJ25" i="10"/>
  <c r="O120" i="11"/>
  <c r="AJ31" i="10"/>
  <c r="AK31" i="10" s="1"/>
  <c r="O144" i="11"/>
  <c r="O152" i="11"/>
  <c r="AJ38" i="10"/>
  <c r="AK38" i="10" s="1"/>
  <c r="O127" i="11"/>
  <c r="AJ41" i="10"/>
  <c r="AK41" i="10" s="1"/>
  <c r="O182" i="11"/>
  <c r="Q235" i="11" s="1"/>
  <c r="R235" i="11" s="1"/>
  <c r="AJ40" i="10"/>
  <c r="AK40" i="10" s="1"/>
  <c r="O200" i="11"/>
  <c r="O47" i="10"/>
  <c r="O24" i="11"/>
  <c r="O7" i="10"/>
  <c r="O4" i="11"/>
  <c r="O21" i="11"/>
  <c r="O3" i="10"/>
  <c r="O7" i="11"/>
  <c r="O9" i="11"/>
  <c r="O5" i="10"/>
  <c r="O17" i="11"/>
  <c r="O20" i="11"/>
  <c r="O6" i="10"/>
  <c r="O8" i="10"/>
  <c r="O30" i="11"/>
  <c r="O10" i="10"/>
  <c r="O57" i="11"/>
  <c r="O16" i="10"/>
  <c r="O64" i="11"/>
  <c r="O77" i="11"/>
  <c r="O82" i="11"/>
  <c r="AJ21" i="10"/>
  <c r="AJ23" i="10"/>
  <c r="O24" i="10"/>
  <c r="O99" i="11"/>
  <c r="O25" i="10"/>
  <c r="O104" i="11"/>
  <c r="O33" i="10"/>
  <c r="O141" i="11"/>
  <c r="O150" i="11"/>
  <c r="O151" i="11"/>
  <c r="O154" i="11"/>
  <c r="O179" i="11"/>
  <c r="Q232" i="11" s="1"/>
  <c r="R232" i="11" s="1"/>
  <c r="O186" i="11"/>
  <c r="O43" i="10"/>
  <c r="O193" i="11"/>
  <c r="O198" i="11"/>
  <c r="O13" i="11"/>
  <c r="O15" i="11"/>
  <c r="O22" i="11"/>
  <c r="O31" i="11"/>
  <c r="O34" i="11"/>
  <c r="O49" i="11"/>
  <c r="S14" i="10"/>
  <c r="S15" i="10" s="1"/>
  <c r="S16" i="10" s="1"/>
  <c r="S17" i="10" s="1"/>
  <c r="S18" i="10" s="1"/>
  <c r="S19" i="10" s="1"/>
  <c r="S20" i="10" s="1"/>
  <c r="S21" i="10" s="1"/>
  <c r="S22" i="10" s="1"/>
  <c r="S23" i="10" s="1"/>
  <c r="S24" i="10" s="1"/>
  <c r="S25" i="10" s="1"/>
  <c r="O56" i="11"/>
  <c r="O14" i="10"/>
  <c r="O62" i="11"/>
  <c r="AJ17" i="10"/>
  <c r="O76" i="11"/>
  <c r="O88" i="11"/>
  <c r="O96" i="11"/>
  <c r="AJ28" i="10"/>
  <c r="AK28" i="10" s="1"/>
  <c r="AJ29" i="10"/>
  <c r="AK29" i="10" s="1"/>
  <c r="O130" i="11"/>
  <c r="O31" i="10"/>
  <c r="O32" i="10"/>
  <c r="O134" i="11"/>
  <c r="O136" i="11"/>
  <c r="AJ34" i="10"/>
  <c r="AK34" i="10" s="1"/>
  <c r="O147" i="11"/>
  <c r="AJ37" i="10"/>
  <c r="AK37" i="10" s="1"/>
  <c r="O158" i="11"/>
  <c r="O161" i="11"/>
  <c r="S38" i="10"/>
  <c r="O38" i="10"/>
  <c r="O169" i="11"/>
  <c r="Q222" i="11" s="1"/>
  <c r="R222" i="11" s="1"/>
  <c r="AJ42" i="10"/>
  <c r="AK42" i="10" s="1"/>
  <c r="O180" i="11"/>
  <c r="Q233" i="11" s="1"/>
  <c r="R233" i="11" s="1"/>
  <c r="O190" i="11"/>
  <c r="O191" i="11"/>
  <c r="AJ45" i="10"/>
  <c r="AK45" i="10" s="1"/>
  <c r="O5" i="11"/>
  <c r="O23" i="11"/>
  <c r="O25" i="11"/>
  <c r="O28" i="11"/>
  <c r="O32" i="11"/>
  <c r="O33" i="11"/>
  <c r="O9" i="10"/>
  <c r="O36" i="11"/>
  <c r="O15" i="10"/>
  <c r="AJ15" i="10"/>
  <c r="O17" i="10"/>
  <c r="O72" i="11"/>
  <c r="O73" i="11"/>
  <c r="O18" i="10"/>
  <c r="O78" i="11"/>
  <c r="O80" i="11"/>
  <c r="O84" i="11"/>
  <c r="O87" i="11"/>
  <c r="O91" i="11"/>
  <c r="O105" i="11"/>
  <c r="O115" i="11"/>
  <c r="O124" i="11"/>
  <c r="O129" i="11"/>
  <c r="O36" i="10"/>
  <c r="AJ36" i="10"/>
  <c r="AK36" i="10" s="1"/>
  <c r="O155" i="11"/>
  <c r="O37" i="10"/>
  <c r="O162" i="11"/>
  <c r="O164" i="11"/>
  <c r="AJ39" i="10"/>
  <c r="AK39" i="10" s="1"/>
  <c r="O168" i="11"/>
  <c r="Q221" i="11" s="1"/>
  <c r="R221" i="11" s="1"/>
  <c r="O189" i="11"/>
  <c r="O194" i="11"/>
  <c r="Q107" i="11"/>
  <c r="Q212" i="11"/>
  <c r="R212" i="11" s="1"/>
  <c r="P54" i="11"/>
  <c r="P159" i="11"/>
  <c r="O39" i="10"/>
  <c r="S39" i="10" l="1"/>
  <c r="S40" i="10" s="1"/>
  <c r="S41" i="10" s="1"/>
  <c r="O165" i="11"/>
  <c r="Q51" i="10"/>
  <c r="R51" i="10" s="1"/>
  <c r="T27" i="10"/>
  <c r="T26" i="10"/>
  <c r="Q142" i="11"/>
  <c r="Q186" i="11"/>
  <c r="R186" i="11" s="1"/>
  <c r="Q196" i="11"/>
  <c r="R196" i="11" s="1"/>
  <c r="Q182" i="11"/>
  <c r="R182" i="11" s="1"/>
  <c r="Q126" i="11"/>
  <c r="Q111" i="11"/>
  <c r="Q124" i="11"/>
  <c r="Q139" i="11"/>
  <c r="Q147" i="11"/>
  <c r="Q144" i="11"/>
  <c r="Q117" i="11"/>
  <c r="Q184" i="11"/>
  <c r="R184" i="11" s="1"/>
  <c r="Q125" i="11"/>
  <c r="Q81" i="11"/>
  <c r="Q135" i="11"/>
  <c r="Q138" i="11"/>
  <c r="Q63" i="11"/>
  <c r="Q90" i="11"/>
  <c r="Q172" i="11"/>
  <c r="R172" i="11" s="1"/>
  <c r="Q128" i="11"/>
  <c r="Q114" i="11"/>
  <c r="Q173" i="11"/>
  <c r="R173" i="11" s="1"/>
  <c r="Q189" i="11"/>
  <c r="R189" i="11" s="1"/>
  <c r="Q146" i="11"/>
  <c r="Q110" i="11"/>
  <c r="Q122" i="11"/>
  <c r="Q131" i="11"/>
  <c r="Q79" i="11"/>
  <c r="Q103" i="11"/>
  <c r="Q123" i="11"/>
  <c r="Q167" i="11"/>
  <c r="R167" i="11" s="1"/>
  <c r="Q162" i="11"/>
  <c r="R162" i="11" s="1"/>
  <c r="Q215" i="11"/>
  <c r="R215" i="11" s="1"/>
  <c r="Q66" i="11"/>
  <c r="Q116" i="11"/>
  <c r="Q141" i="11"/>
  <c r="Q104" i="11"/>
  <c r="Q85" i="11"/>
  <c r="Q134" i="11"/>
  <c r="Q74" i="11"/>
  <c r="Q187" i="11"/>
  <c r="R187" i="11" s="1"/>
  <c r="Q174" i="11"/>
  <c r="R174" i="11" s="1"/>
  <c r="Q149" i="11"/>
  <c r="Q202" i="11"/>
  <c r="R202" i="11" s="1"/>
  <c r="Q148" i="11"/>
  <c r="Q201" i="11"/>
  <c r="R201" i="11" s="1"/>
  <c r="Q65" i="11"/>
  <c r="Q97" i="11"/>
  <c r="Q118" i="11"/>
  <c r="Q115" i="11"/>
  <c r="Q136" i="11"/>
  <c r="Q99" i="11"/>
  <c r="Q64" i="11"/>
  <c r="Q86" i="11"/>
  <c r="Q71" i="11"/>
  <c r="Q191" i="11"/>
  <c r="R191" i="11" s="1"/>
  <c r="Q183" i="11"/>
  <c r="R183" i="11" s="1"/>
  <c r="Q185" i="11"/>
  <c r="R185" i="11" s="1"/>
  <c r="Q188" i="11"/>
  <c r="R188" i="11" s="1"/>
  <c r="Q153" i="11"/>
  <c r="Q206" i="11"/>
  <c r="R206" i="11" s="1"/>
  <c r="Q133" i="11"/>
  <c r="Q62" i="11"/>
  <c r="Q155" i="11"/>
  <c r="Q208" i="11"/>
  <c r="R208" i="11" s="1"/>
  <c r="Q112" i="11"/>
  <c r="Q100" i="11"/>
  <c r="Q105" i="11"/>
  <c r="Q96" i="11"/>
  <c r="Q82" i="11"/>
  <c r="Q137" i="11"/>
  <c r="Q58" i="11"/>
  <c r="Q130" i="11"/>
  <c r="Q73" i="11"/>
  <c r="Q180" i="11"/>
  <c r="R180" i="11" s="1"/>
  <c r="Q178" i="11"/>
  <c r="R178" i="11" s="1"/>
  <c r="Q176" i="11"/>
  <c r="R176" i="11" s="1"/>
  <c r="Q177" i="11"/>
  <c r="R177" i="11" s="1"/>
  <c r="Q143" i="11"/>
  <c r="Q129" i="11"/>
  <c r="S56" i="11"/>
  <c r="S57" i="11" s="1"/>
  <c r="Q56" i="11"/>
  <c r="Q87" i="11"/>
  <c r="Q88" i="11"/>
  <c r="Q77" i="11"/>
  <c r="Q94" i="11"/>
  <c r="Q89" i="11"/>
  <c r="Q169" i="11"/>
  <c r="R169" i="11" s="1"/>
  <c r="Q171" i="11"/>
  <c r="R171" i="11" s="1"/>
  <c r="Q197" i="11"/>
  <c r="R197" i="11" s="1"/>
  <c r="Q91" i="11"/>
  <c r="Q163" i="11"/>
  <c r="R163" i="11" s="1"/>
  <c r="Q216" i="11"/>
  <c r="R216" i="11" s="1"/>
  <c r="Q60" i="11"/>
  <c r="Q109" i="11"/>
  <c r="Q68" i="11"/>
  <c r="Q70" i="11"/>
  <c r="Q84" i="11"/>
  <c r="Q76" i="11"/>
  <c r="Q113" i="11"/>
  <c r="Q121" i="11"/>
  <c r="Q158" i="11"/>
  <c r="Q211" i="11"/>
  <c r="R211" i="11" s="1"/>
  <c r="Q120" i="11"/>
  <c r="Q166" i="11"/>
  <c r="R166" i="11" s="1"/>
  <c r="Q198" i="11"/>
  <c r="R198" i="11" s="1"/>
  <c r="Q170" i="11"/>
  <c r="R170" i="11" s="1"/>
  <c r="Q192" i="11"/>
  <c r="R192" i="11" s="1"/>
  <c r="Q80" i="11"/>
  <c r="Q61" i="11"/>
  <c r="Q59" i="11"/>
  <c r="Q57" i="11"/>
  <c r="Q93" i="11"/>
  <c r="Q161" i="11"/>
  <c r="R161" i="11" s="1"/>
  <c r="Q214" i="11"/>
  <c r="R214" i="11" s="1"/>
  <c r="Q127" i="11"/>
  <c r="Q67" i="11"/>
  <c r="Q72" i="11"/>
  <c r="Q98" i="11"/>
  <c r="Q102" i="11"/>
  <c r="Q95" i="11"/>
  <c r="Q168" i="11"/>
  <c r="R168" i="11" s="1"/>
  <c r="Q193" i="11"/>
  <c r="R193" i="11" s="1"/>
  <c r="Q181" i="11"/>
  <c r="R181" i="11" s="1"/>
  <c r="Q78" i="11"/>
  <c r="Q69" i="11"/>
  <c r="Q200" i="11"/>
  <c r="R200" i="11" s="1"/>
  <c r="Q199" i="11"/>
  <c r="R199" i="11" s="1"/>
  <c r="Q151" i="11"/>
  <c r="Q204" i="11"/>
  <c r="R204" i="11" s="1"/>
  <c r="Q152" i="11"/>
  <c r="Q205" i="11"/>
  <c r="R205" i="11" s="1"/>
  <c r="Q157" i="11"/>
  <c r="Q210" i="11"/>
  <c r="R210" i="11" s="1"/>
  <c r="Q154" i="11"/>
  <c r="Q207" i="11"/>
  <c r="R207" i="11" s="1"/>
  <c r="Q132" i="11"/>
  <c r="Q195" i="11"/>
  <c r="R195" i="11" s="1"/>
  <c r="Q156" i="11"/>
  <c r="Q209" i="11"/>
  <c r="R209" i="11" s="1"/>
  <c r="Q164" i="11"/>
  <c r="R164" i="11" s="1"/>
  <c r="Q217" i="11"/>
  <c r="R217" i="11" s="1"/>
  <c r="Q83" i="11"/>
  <c r="Q106" i="11"/>
  <c r="Q140" i="11"/>
  <c r="Q150" i="11"/>
  <c r="Q203" i="11"/>
  <c r="R203" i="11" s="1"/>
  <c r="Q75" i="11"/>
  <c r="Q194" i="11"/>
  <c r="R194" i="11" s="1"/>
  <c r="Q179" i="11"/>
  <c r="R179" i="11" s="1"/>
  <c r="Q190" i="11"/>
  <c r="R190" i="11" s="1"/>
  <c r="Q175" i="11"/>
  <c r="R175" i="11" s="1"/>
  <c r="Q101" i="11"/>
  <c r="Q119" i="11"/>
  <c r="Q159" i="11"/>
  <c r="P39" i="11"/>
  <c r="P141" i="11"/>
  <c r="P182" i="11"/>
  <c r="P187" i="11"/>
  <c r="P172" i="11"/>
  <c r="P174" i="11"/>
  <c r="P149" i="11"/>
  <c r="P131" i="11"/>
  <c r="P191" i="11"/>
  <c r="P183" i="11"/>
  <c r="P185" i="11"/>
  <c r="P188" i="11"/>
  <c r="P153" i="11"/>
  <c r="P133" i="11"/>
  <c r="P25" i="11"/>
  <c r="P110" i="11"/>
  <c r="P138" i="11"/>
  <c r="P46" i="11"/>
  <c r="P148" i="11"/>
  <c r="P118" i="11"/>
  <c r="P10" i="11"/>
  <c r="P15" i="11"/>
  <c r="P40" i="11"/>
  <c r="P28" i="11"/>
  <c r="P14" i="11"/>
  <c r="P52" i="11"/>
  <c r="P128" i="11"/>
  <c r="P155" i="11"/>
  <c r="P112" i="11"/>
  <c r="P137" i="11"/>
  <c r="P130" i="11"/>
  <c r="P180" i="11"/>
  <c r="P178" i="11"/>
  <c r="P176" i="11"/>
  <c r="P177" i="11"/>
  <c r="P143" i="11"/>
  <c r="P129" i="11"/>
  <c r="P17" i="11"/>
  <c r="P162" i="11"/>
  <c r="P11" i="11"/>
  <c r="P23" i="11"/>
  <c r="P136" i="11"/>
  <c r="P7" i="11"/>
  <c r="P43" i="11"/>
  <c r="P34" i="11"/>
  <c r="P12" i="11"/>
  <c r="P42" i="11"/>
  <c r="P111" i="11"/>
  <c r="P142" i="11"/>
  <c r="P123" i="11"/>
  <c r="P167" i="11"/>
  <c r="P169" i="11"/>
  <c r="P171" i="11"/>
  <c r="P197" i="11"/>
  <c r="P163" i="11"/>
  <c r="P33" i="11"/>
  <c r="P32" i="11"/>
  <c r="P13" i="11"/>
  <c r="P38" i="11"/>
  <c r="P35" i="11"/>
  <c r="P31" i="11"/>
  <c r="P50" i="11"/>
  <c r="P49" i="11"/>
  <c r="P109" i="11"/>
  <c r="P139" i="11"/>
  <c r="P113" i="11"/>
  <c r="P121" i="11"/>
  <c r="P158" i="11"/>
  <c r="P120" i="11"/>
  <c r="P166" i="11"/>
  <c r="P198" i="11"/>
  <c r="P170" i="11"/>
  <c r="P192" i="11"/>
  <c r="P21" i="11"/>
  <c r="P122" i="11"/>
  <c r="P189" i="11"/>
  <c r="P53" i="11"/>
  <c r="P115" i="11"/>
  <c r="P5" i="11"/>
  <c r="P8" i="11"/>
  <c r="P29" i="11"/>
  <c r="P45" i="11"/>
  <c r="P22" i="11"/>
  <c r="P44" i="11"/>
  <c r="P125" i="11"/>
  <c r="P161" i="11"/>
  <c r="S161" i="11"/>
  <c r="P127" i="11"/>
  <c r="P114" i="11"/>
  <c r="P168" i="11"/>
  <c r="P193" i="11"/>
  <c r="P196" i="11"/>
  <c r="P181" i="11"/>
  <c r="P200" i="11"/>
  <c r="P48" i="11"/>
  <c r="P116" i="11"/>
  <c r="P134" i="11"/>
  <c r="P18" i="11"/>
  <c r="P19" i="11"/>
  <c r="P27" i="11"/>
  <c r="P24" i="11"/>
  <c r="P30" i="11"/>
  <c r="P51" i="11"/>
  <c r="P41" i="11"/>
  <c r="P126" i="11"/>
  <c r="P147" i="11"/>
  <c r="P151" i="11"/>
  <c r="P152" i="11"/>
  <c r="P157" i="11"/>
  <c r="P146" i="11"/>
  <c r="P117" i="11"/>
  <c r="P154" i="11"/>
  <c r="P132" i="11"/>
  <c r="P186" i="11"/>
  <c r="P195" i="11"/>
  <c r="P184" i="11"/>
  <c r="P173" i="11"/>
  <c r="P156" i="11"/>
  <c r="P9" i="11"/>
  <c r="P4" i="11"/>
  <c r="P16" i="11"/>
  <c r="P6" i="11"/>
  <c r="P3" i="11"/>
  <c r="S3" i="11"/>
  <c r="S4" i="11" s="1"/>
  <c r="S5" i="11" s="1"/>
  <c r="S6" i="11" s="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S31" i="11" s="1"/>
  <c r="S32" i="11" s="1"/>
  <c r="S33" i="11" s="1"/>
  <c r="S34" i="11" s="1"/>
  <c r="S35" i="11" s="1"/>
  <c r="S36" i="11" s="1"/>
  <c r="S37" i="11" s="1"/>
  <c r="S38" i="11" s="1"/>
  <c r="S39" i="11" s="1"/>
  <c r="S40" i="11" s="1"/>
  <c r="S41" i="11" s="1"/>
  <c r="S42" i="11" s="1"/>
  <c r="S43" i="11" s="1"/>
  <c r="S44" i="11" s="1"/>
  <c r="S45" i="11" s="1"/>
  <c r="S46" i="11" s="1"/>
  <c r="S47" i="11" s="1"/>
  <c r="S48" i="11" s="1"/>
  <c r="S49" i="11" s="1"/>
  <c r="S50" i="11" s="1"/>
  <c r="S51" i="11" s="1"/>
  <c r="S52" i="11" s="1"/>
  <c r="S53" i="11" s="1"/>
  <c r="S54" i="11" s="1"/>
  <c r="P26" i="11"/>
  <c r="P36" i="11"/>
  <c r="P20" i="11"/>
  <c r="P47" i="11"/>
  <c r="P37" i="11"/>
  <c r="P164" i="11"/>
  <c r="P135" i="11"/>
  <c r="P124" i="11"/>
  <c r="P144" i="11"/>
  <c r="P145" i="11"/>
  <c r="P140" i="11"/>
  <c r="P108" i="11"/>
  <c r="S108" i="11"/>
  <c r="P150" i="11"/>
  <c r="P194" i="11"/>
  <c r="P179" i="11"/>
  <c r="P190" i="11"/>
  <c r="P175" i="11"/>
  <c r="P119" i="11"/>
  <c r="Q18" i="10"/>
  <c r="Q19" i="10"/>
  <c r="Q20" i="10"/>
  <c r="Q22" i="10"/>
  <c r="U26" i="10"/>
  <c r="V26" i="10" s="1"/>
  <c r="Q17" i="10"/>
  <c r="Q15" i="10"/>
  <c r="U14" i="10"/>
  <c r="T38" i="10"/>
  <c r="U38" i="10"/>
  <c r="V38" i="10" s="1"/>
  <c r="U50" i="10"/>
  <c r="V50" i="10" s="1"/>
  <c r="Q25" i="10"/>
  <c r="P47" i="10"/>
  <c r="Q47" i="10"/>
  <c r="R47" i="10" s="1"/>
  <c r="P46" i="10"/>
  <c r="Q46" i="10"/>
  <c r="R46" i="10" s="1"/>
  <c r="Q16" i="10"/>
  <c r="P44" i="10"/>
  <c r="Q44" i="10"/>
  <c r="R44" i="10" s="1"/>
  <c r="P39" i="10"/>
  <c r="Q39" i="10"/>
  <c r="R39" i="10" s="1"/>
  <c r="Q23" i="10"/>
  <c r="Q14" i="10"/>
  <c r="P28" i="10"/>
  <c r="Q28" i="10"/>
  <c r="R28" i="10" s="1"/>
  <c r="Q21" i="10"/>
  <c r="P37" i="10"/>
  <c r="Q37" i="10"/>
  <c r="R37" i="10" s="1"/>
  <c r="Q49" i="10"/>
  <c r="R49" i="10" s="1"/>
  <c r="P43" i="10"/>
  <c r="Q43" i="10"/>
  <c r="R43" i="10" s="1"/>
  <c r="P40" i="10"/>
  <c r="Q40" i="10"/>
  <c r="R40" i="10" s="1"/>
  <c r="P41" i="10"/>
  <c r="Q41" i="10"/>
  <c r="R41" i="10" s="1"/>
  <c r="P36" i="10"/>
  <c r="Q36" i="10"/>
  <c r="R36" i="10" s="1"/>
  <c r="Q48" i="10"/>
  <c r="R48" i="10" s="1"/>
  <c r="P38" i="10"/>
  <c r="Q38" i="10"/>
  <c r="R38" i="10" s="1"/>
  <c r="Q50" i="10"/>
  <c r="R50" i="10" s="1"/>
  <c r="P33" i="10"/>
  <c r="Q33" i="10"/>
  <c r="R33" i="10" s="1"/>
  <c r="Q24" i="10"/>
  <c r="P35" i="10"/>
  <c r="Q35" i="10"/>
  <c r="R35" i="10" s="1"/>
  <c r="P34" i="10"/>
  <c r="Q34" i="10"/>
  <c r="R34" i="10" s="1"/>
  <c r="P30" i="10"/>
  <c r="Q30" i="10"/>
  <c r="R30" i="10" s="1"/>
  <c r="P32" i="10"/>
  <c r="Q32" i="10"/>
  <c r="R32" i="10" s="1"/>
  <c r="P45" i="10"/>
  <c r="Q45" i="10"/>
  <c r="R45" i="10" s="1"/>
  <c r="P27" i="10"/>
  <c r="Q27" i="10"/>
  <c r="R27" i="10" s="1"/>
  <c r="P31" i="10"/>
  <c r="Q31" i="10"/>
  <c r="R31" i="10" s="1"/>
  <c r="P26" i="10"/>
  <c r="Q26" i="10"/>
  <c r="R26" i="10" s="1"/>
  <c r="P42" i="10"/>
  <c r="Q42" i="10"/>
  <c r="R42" i="10" s="1"/>
  <c r="Q29" i="10"/>
  <c r="R29" i="10" s="1"/>
  <c r="S42" i="10" l="1"/>
  <c r="U53" i="10"/>
  <c r="V53" i="10" s="1"/>
  <c r="U52" i="10"/>
  <c r="V52" i="10" s="1"/>
  <c r="U51" i="10"/>
  <c r="V51" i="10" s="1"/>
  <c r="T28" i="10"/>
  <c r="Q165" i="11"/>
  <c r="R165" i="11" s="1"/>
  <c r="Q218" i="11"/>
  <c r="R218" i="11" s="1"/>
  <c r="S109" i="11"/>
  <c r="U108" i="11"/>
  <c r="S58" i="11"/>
  <c r="U57" i="11"/>
  <c r="U161" i="11"/>
  <c r="V161" i="11" s="1"/>
  <c r="U214" i="11"/>
  <c r="V214" i="11" s="1"/>
  <c r="U56" i="11"/>
  <c r="S162" i="11"/>
  <c r="T161" i="11"/>
  <c r="P165" i="11"/>
  <c r="U39" i="10"/>
  <c r="V39" i="10" s="1"/>
  <c r="T39" i="10"/>
  <c r="U15" i="10"/>
  <c r="U27" i="10"/>
  <c r="V27" i="10" s="1"/>
  <c r="S43" i="10" l="1"/>
  <c r="S44" i="10" s="1"/>
  <c r="S45" i="10" s="1"/>
  <c r="S46" i="10" s="1"/>
  <c r="S47" i="10" s="1"/>
  <c r="S48" i="10" s="1"/>
  <c r="S49" i="10" s="1"/>
  <c r="U54" i="10"/>
  <c r="V54" i="10" s="1"/>
  <c r="U28" i="10"/>
  <c r="V28" i="10" s="1"/>
  <c r="T29" i="10"/>
  <c r="U162" i="11"/>
  <c r="V162" i="11" s="1"/>
  <c r="U215" i="11"/>
  <c r="V215" i="11" s="1"/>
  <c r="S59" i="11"/>
  <c r="U58" i="11"/>
  <c r="S110" i="11"/>
  <c r="U109" i="11"/>
  <c r="S163" i="11"/>
  <c r="T162" i="11"/>
  <c r="T40" i="10"/>
  <c r="U40" i="10"/>
  <c r="V40" i="10" s="1"/>
  <c r="U16" i="10"/>
  <c r="T30" i="10" l="1"/>
  <c r="U163" i="11"/>
  <c r="V163" i="11" s="1"/>
  <c r="U216" i="11"/>
  <c r="V216" i="11" s="1"/>
  <c r="S111" i="11"/>
  <c r="U110" i="11"/>
  <c r="S60" i="11"/>
  <c r="U59" i="11"/>
  <c r="S164" i="11"/>
  <c r="T163" i="11"/>
  <c r="U41" i="10"/>
  <c r="V41" i="10" s="1"/>
  <c r="T41" i="10"/>
  <c r="U17" i="10"/>
  <c r="U29" i="10"/>
  <c r="V29" i="10" s="1"/>
  <c r="U30" i="10" l="1"/>
  <c r="V30" i="10" s="1"/>
  <c r="T31" i="10"/>
  <c r="U164" i="11"/>
  <c r="V164" i="11" s="1"/>
  <c r="U217" i="11"/>
  <c r="V217" i="11" s="1"/>
  <c r="S61" i="11"/>
  <c r="U60" i="11"/>
  <c r="S112" i="11"/>
  <c r="U111" i="11"/>
  <c r="T164" i="11"/>
  <c r="S165" i="11"/>
  <c r="U18" i="10"/>
  <c r="U42" i="10"/>
  <c r="V42" i="10" s="1"/>
  <c r="T42" i="10"/>
  <c r="T32" i="10" l="1"/>
  <c r="U165" i="11"/>
  <c r="V165" i="11" s="1"/>
  <c r="U218" i="11"/>
  <c r="V218" i="11" s="1"/>
  <c r="S113" i="11"/>
  <c r="U112" i="11"/>
  <c r="S62" i="11"/>
  <c r="U61" i="11"/>
  <c r="S166" i="11"/>
  <c r="U219" i="11" s="1"/>
  <c r="V219" i="11" s="1"/>
  <c r="T165" i="11"/>
  <c r="T43" i="10"/>
  <c r="U43" i="10"/>
  <c r="V43" i="10" s="1"/>
  <c r="U19" i="10"/>
  <c r="U31" i="10"/>
  <c r="V31" i="10" s="1"/>
  <c r="U32" i="10" l="1"/>
  <c r="V32" i="10" s="1"/>
  <c r="T33" i="10"/>
  <c r="U166" i="11"/>
  <c r="V166" i="11" s="1"/>
  <c r="S63" i="11"/>
  <c r="U62" i="11"/>
  <c r="S114" i="11"/>
  <c r="U113" i="11"/>
  <c r="S167" i="11"/>
  <c r="U220" i="11" s="1"/>
  <c r="V220" i="11" s="1"/>
  <c r="T166" i="11"/>
  <c r="U20" i="10"/>
  <c r="U44" i="10"/>
  <c r="V44" i="10" s="1"/>
  <c r="T44" i="10"/>
  <c r="T34" i="10" l="1"/>
  <c r="U167" i="11"/>
  <c r="V167" i="11" s="1"/>
  <c r="S115" i="11"/>
  <c r="U114" i="11"/>
  <c r="S64" i="11"/>
  <c r="U63" i="11"/>
  <c r="S168" i="11"/>
  <c r="U221" i="11" s="1"/>
  <c r="V221" i="11" s="1"/>
  <c r="T167" i="11"/>
  <c r="U45" i="10"/>
  <c r="V45" i="10" s="1"/>
  <c r="T45" i="10"/>
  <c r="U21" i="10"/>
  <c r="U33" i="10"/>
  <c r="V33" i="10" s="1"/>
  <c r="U34" i="10" l="1"/>
  <c r="V34" i="10" s="1"/>
  <c r="T35" i="10"/>
  <c r="U168" i="11"/>
  <c r="V168" i="11" s="1"/>
  <c r="S65" i="11"/>
  <c r="U64" i="11"/>
  <c r="S116" i="11"/>
  <c r="U115" i="11"/>
  <c r="S169" i="11"/>
  <c r="U222" i="11" s="1"/>
  <c r="V222" i="11" s="1"/>
  <c r="T168" i="11"/>
  <c r="U22" i="10"/>
  <c r="U46" i="10"/>
  <c r="V46" i="10" s="1"/>
  <c r="T46" i="10"/>
  <c r="T36" i="10" l="1"/>
  <c r="U169" i="11"/>
  <c r="V169" i="11" s="1"/>
  <c r="S117" i="11"/>
  <c r="U116" i="11"/>
  <c r="S66" i="11"/>
  <c r="U65" i="11"/>
  <c r="S170" i="11"/>
  <c r="U223" i="11" s="1"/>
  <c r="V223" i="11" s="1"/>
  <c r="T169" i="11"/>
  <c r="U47" i="10"/>
  <c r="V47" i="10" s="1"/>
  <c r="T47" i="10"/>
  <c r="U23" i="10"/>
  <c r="U35" i="10"/>
  <c r="V35" i="10" s="1"/>
  <c r="U36" i="10" l="1"/>
  <c r="V36" i="10" s="1"/>
  <c r="T37" i="10"/>
  <c r="U170" i="11"/>
  <c r="V170" i="11" s="1"/>
  <c r="S67" i="11"/>
  <c r="U66" i="11"/>
  <c r="S118" i="11"/>
  <c r="U117" i="11"/>
  <c r="S171" i="11"/>
  <c r="U224" i="11" s="1"/>
  <c r="V224" i="11" s="1"/>
  <c r="T170" i="11"/>
  <c r="U25" i="10"/>
  <c r="U24" i="10"/>
  <c r="U48" i="10"/>
  <c r="V48" i="10" s="1"/>
  <c r="T48" i="10"/>
  <c r="U171" i="11" l="1"/>
  <c r="V171" i="11" s="1"/>
  <c r="S119" i="11"/>
  <c r="U118" i="11"/>
  <c r="S68" i="11"/>
  <c r="U67" i="11"/>
  <c r="S172" i="11"/>
  <c r="U225" i="11" s="1"/>
  <c r="V225" i="11" s="1"/>
  <c r="T171" i="11"/>
  <c r="U49" i="10"/>
  <c r="V49" i="10" s="1"/>
  <c r="T49" i="10"/>
  <c r="U37" i="10"/>
  <c r="V37" i="10" s="1"/>
  <c r="U172" i="11" l="1"/>
  <c r="V172" i="11" s="1"/>
  <c r="S69" i="11"/>
  <c r="U68" i="11"/>
  <c r="S120" i="11"/>
  <c r="U119" i="11"/>
  <c r="S173" i="11"/>
  <c r="U226" i="11" s="1"/>
  <c r="V226" i="11" s="1"/>
  <c r="T172" i="11"/>
  <c r="U173" i="11" l="1"/>
  <c r="V173" i="11" s="1"/>
  <c r="S121" i="11"/>
  <c r="U120" i="11"/>
  <c r="S70" i="11"/>
  <c r="U69" i="11"/>
  <c r="S174" i="11"/>
  <c r="U227" i="11" s="1"/>
  <c r="V227" i="11" s="1"/>
  <c r="T173" i="11"/>
  <c r="U174" i="11" l="1"/>
  <c r="V174" i="11" s="1"/>
  <c r="S71" i="11"/>
  <c r="U70" i="11"/>
  <c r="S122" i="11"/>
  <c r="U121" i="11"/>
  <c r="S175" i="11"/>
  <c r="U228" i="11" s="1"/>
  <c r="V228" i="11" s="1"/>
  <c r="T174" i="11"/>
  <c r="U175" i="11" l="1"/>
  <c r="V175" i="11" s="1"/>
  <c r="S123" i="11"/>
  <c r="U122" i="11"/>
  <c r="S72" i="11"/>
  <c r="U71" i="11"/>
  <c r="S176" i="11"/>
  <c r="U229" i="11" s="1"/>
  <c r="V229" i="11" s="1"/>
  <c r="T175" i="11"/>
  <c r="U176" i="11" l="1"/>
  <c r="V176" i="11" s="1"/>
  <c r="S73" i="11"/>
  <c r="U72" i="11"/>
  <c r="S124" i="11"/>
  <c r="U123" i="11"/>
  <c r="S177" i="11"/>
  <c r="U230" i="11" s="1"/>
  <c r="V230" i="11" s="1"/>
  <c r="T176" i="11"/>
  <c r="U177" i="11" l="1"/>
  <c r="V177" i="11" s="1"/>
  <c r="S125" i="11"/>
  <c r="U124" i="11"/>
  <c r="S74" i="11"/>
  <c r="U73" i="11"/>
  <c r="S178" i="11"/>
  <c r="U231" i="11" s="1"/>
  <c r="V231" i="11" s="1"/>
  <c r="T177" i="11"/>
  <c r="U178" i="11" l="1"/>
  <c r="V178" i="11" s="1"/>
  <c r="S75" i="11"/>
  <c r="U74" i="11"/>
  <c r="S126" i="11"/>
  <c r="U125" i="11"/>
  <c r="S179" i="11"/>
  <c r="U232" i="11" s="1"/>
  <c r="V232" i="11" s="1"/>
  <c r="T178" i="11"/>
  <c r="U179" i="11" l="1"/>
  <c r="V179" i="11" s="1"/>
  <c r="S127" i="11"/>
  <c r="U126" i="11"/>
  <c r="S76" i="11"/>
  <c r="U75" i="11"/>
  <c r="S180" i="11"/>
  <c r="U233" i="11" s="1"/>
  <c r="V233" i="11" s="1"/>
  <c r="T179" i="11"/>
  <c r="U180" i="11" l="1"/>
  <c r="V180" i="11" s="1"/>
  <c r="S77" i="11"/>
  <c r="U76" i="11"/>
  <c r="S128" i="11"/>
  <c r="U127" i="11"/>
  <c r="S181" i="11"/>
  <c r="U234" i="11" s="1"/>
  <c r="V234" i="11" s="1"/>
  <c r="T180" i="11"/>
  <c r="U181" i="11" l="1"/>
  <c r="V181" i="11" s="1"/>
  <c r="S129" i="11"/>
  <c r="U128" i="11"/>
  <c r="S78" i="11"/>
  <c r="U77" i="11"/>
  <c r="S182" i="11"/>
  <c r="U235" i="11" s="1"/>
  <c r="V235" i="11" s="1"/>
  <c r="T181" i="11"/>
  <c r="U182" i="11" l="1"/>
  <c r="V182" i="11" s="1"/>
  <c r="S79" i="11"/>
  <c r="U78" i="11"/>
  <c r="S130" i="11"/>
  <c r="U129" i="11"/>
  <c r="S183" i="11"/>
  <c r="T182" i="11"/>
  <c r="U183" i="11" l="1"/>
  <c r="V183" i="11" s="1"/>
  <c r="S131" i="11"/>
  <c r="U130" i="11"/>
  <c r="S80" i="11"/>
  <c r="U79" i="11"/>
  <c r="S184" i="11"/>
  <c r="T183" i="11"/>
  <c r="U184" i="11" l="1"/>
  <c r="V184" i="11" s="1"/>
  <c r="S81" i="11"/>
  <c r="U80" i="11"/>
  <c r="S132" i="11"/>
  <c r="U131" i="11"/>
  <c r="S185" i="11"/>
  <c r="T184" i="11"/>
  <c r="U185" i="11" l="1"/>
  <c r="V185" i="11" s="1"/>
  <c r="S133" i="11"/>
  <c r="U132" i="11"/>
  <c r="S82" i="11"/>
  <c r="U81" i="11"/>
  <c r="S186" i="11"/>
  <c r="T185" i="11"/>
  <c r="U186" i="11" l="1"/>
  <c r="V186" i="11" s="1"/>
  <c r="S83" i="11"/>
  <c r="U82" i="11"/>
  <c r="S134" i="11"/>
  <c r="U133" i="11"/>
  <c r="S187" i="11"/>
  <c r="T186" i="11"/>
  <c r="S135" i="11" l="1"/>
  <c r="U134" i="11"/>
  <c r="U187" i="11"/>
  <c r="V187" i="11" s="1"/>
  <c r="S84" i="11"/>
  <c r="U83" i="11"/>
  <c r="S188" i="11"/>
  <c r="T187" i="11"/>
  <c r="U188" i="11" l="1"/>
  <c r="V188" i="11" s="1"/>
  <c r="S85" i="11"/>
  <c r="U84" i="11"/>
  <c r="S136" i="11"/>
  <c r="U135" i="11"/>
  <c r="S189" i="11"/>
  <c r="T188" i="11"/>
  <c r="U189" i="11" l="1"/>
  <c r="V189" i="11" s="1"/>
  <c r="S137" i="11"/>
  <c r="U136" i="11"/>
  <c r="S86" i="11"/>
  <c r="U85" i="11"/>
  <c r="S190" i="11"/>
  <c r="T189" i="11"/>
  <c r="U190" i="11" l="1"/>
  <c r="V190" i="11" s="1"/>
  <c r="S87" i="11"/>
  <c r="U86" i="11"/>
  <c r="S138" i="11"/>
  <c r="U137" i="11"/>
  <c r="S191" i="11"/>
  <c r="T190" i="11"/>
  <c r="U191" i="11" l="1"/>
  <c r="V191" i="11" s="1"/>
  <c r="S139" i="11"/>
  <c r="U138" i="11"/>
  <c r="S88" i="11"/>
  <c r="U87" i="11"/>
  <c r="S192" i="11"/>
  <c r="T191" i="11"/>
  <c r="U192" i="11" l="1"/>
  <c r="V192" i="11" s="1"/>
  <c r="S89" i="11"/>
  <c r="U88" i="11"/>
  <c r="S140" i="11"/>
  <c r="U139" i="11"/>
  <c r="S193" i="11"/>
  <c r="T192" i="11"/>
  <c r="U193" i="11" l="1"/>
  <c r="V193" i="11" s="1"/>
  <c r="S141" i="11"/>
  <c r="U140" i="11"/>
  <c r="S90" i="11"/>
  <c r="U89" i="11"/>
  <c r="S194" i="11"/>
  <c r="T193" i="11"/>
  <c r="U194" i="11" l="1"/>
  <c r="V194" i="11" s="1"/>
  <c r="S91" i="11"/>
  <c r="U90" i="11"/>
  <c r="S142" i="11"/>
  <c r="U141" i="11"/>
  <c r="S195" i="11"/>
  <c r="T194" i="11"/>
  <c r="S143" i="11" l="1"/>
  <c r="U142" i="11"/>
  <c r="U195" i="11"/>
  <c r="V195" i="11" s="1"/>
  <c r="S92" i="11"/>
  <c r="U91" i="11"/>
  <c r="S196" i="11"/>
  <c r="T195" i="11"/>
  <c r="U196" i="11" l="1"/>
  <c r="V196" i="11" s="1"/>
  <c r="S93" i="11"/>
  <c r="U92" i="11"/>
  <c r="S144" i="11"/>
  <c r="U143" i="11"/>
  <c r="S197" i="11"/>
  <c r="T196" i="11"/>
  <c r="U197" i="11" l="1"/>
  <c r="V197" i="11" s="1"/>
  <c r="S145" i="11"/>
  <c r="U144" i="11"/>
  <c r="S94" i="11"/>
  <c r="U93" i="11"/>
  <c r="S198" i="11"/>
  <c r="T197" i="11"/>
  <c r="U198" i="11" l="1"/>
  <c r="V198" i="11" s="1"/>
  <c r="S95" i="11"/>
  <c r="U94" i="11"/>
  <c r="S146" i="11"/>
  <c r="U145" i="11"/>
  <c r="S199" i="11"/>
  <c r="T198" i="11"/>
  <c r="U199" i="11" l="1"/>
  <c r="V199" i="11" s="1"/>
  <c r="S147" i="11"/>
  <c r="U146" i="11"/>
  <c r="S96" i="11"/>
  <c r="U95" i="11"/>
  <c r="S200" i="11"/>
  <c r="T199" i="11"/>
  <c r="U200" i="11" l="1"/>
  <c r="V200" i="11" s="1"/>
  <c r="S97" i="11"/>
  <c r="U96" i="11"/>
  <c r="S148" i="11"/>
  <c r="U147" i="11"/>
  <c r="S201" i="11"/>
  <c r="T200" i="11"/>
  <c r="S149" i="11" l="1"/>
  <c r="U148" i="11"/>
  <c r="U201" i="11"/>
  <c r="V201" i="11" s="1"/>
  <c r="S98" i="11"/>
  <c r="U97" i="11"/>
  <c r="S202" i="11"/>
  <c r="T201" i="11"/>
  <c r="U202" i="11" l="1"/>
  <c r="V202" i="11" s="1"/>
  <c r="S99" i="11"/>
  <c r="U98" i="11"/>
  <c r="S150" i="11"/>
  <c r="U149" i="11"/>
  <c r="S203" i="11"/>
  <c r="T202" i="11"/>
  <c r="U203" i="11" l="1"/>
  <c r="V203" i="11" s="1"/>
  <c r="S151" i="11"/>
  <c r="U150" i="11"/>
  <c r="S100" i="11"/>
  <c r="U99" i="11"/>
  <c r="S204" i="11"/>
  <c r="T203" i="11"/>
  <c r="S101" i="11" l="1"/>
  <c r="U100" i="11"/>
  <c r="U204" i="11"/>
  <c r="V204" i="11" s="1"/>
  <c r="S152" i="11"/>
  <c r="U151" i="11"/>
  <c r="S205" i="11"/>
  <c r="T204" i="11"/>
  <c r="U205" i="11" l="1"/>
  <c r="V205" i="11" s="1"/>
  <c r="S153" i="11"/>
  <c r="U152" i="11"/>
  <c r="S102" i="11"/>
  <c r="U101" i="11"/>
  <c r="S206" i="11"/>
  <c r="T205" i="11"/>
  <c r="U206" i="11" l="1"/>
  <c r="V206" i="11" s="1"/>
  <c r="S103" i="11"/>
  <c r="U102" i="11"/>
  <c r="S154" i="11"/>
  <c r="U153" i="11"/>
  <c r="S207" i="11"/>
  <c r="T206" i="11"/>
  <c r="U207" i="11" l="1"/>
  <c r="V207" i="11" s="1"/>
  <c r="S155" i="11"/>
  <c r="U154" i="11"/>
  <c r="S104" i="11"/>
  <c r="U103" i="11"/>
  <c r="S208" i="11"/>
  <c r="T207" i="11"/>
  <c r="U208" i="11" l="1"/>
  <c r="V208" i="11" s="1"/>
  <c r="S105" i="11"/>
  <c r="U104" i="11"/>
  <c r="S156" i="11"/>
  <c r="U155" i="11"/>
  <c r="S209" i="11"/>
  <c r="T208" i="11"/>
  <c r="U209" i="11" l="1"/>
  <c r="V209" i="11" s="1"/>
  <c r="S157" i="11"/>
  <c r="U156" i="11"/>
  <c r="S106" i="11"/>
  <c r="U105" i="11"/>
  <c r="S210" i="11"/>
  <c r="T209" i="11"/>
  <c r="U210" i="11" l="1"/>
  <c r="V210" i="11" s="1"/>
  <c r="S107" i="11"/>
  <c r="U107" i="11" s="1"/>
  <c r="U106" i="11"/>
  <c r="S158" i="11"/>
  <c r="U157" i="11"/>
  <c r="S211" i="11"/>
  <c r="T210" i="11"/>
  <c r="U211" i="11" l="1"/>
  <c r="V211" i="11" s="1"/>
  <c r="S159" i="11"/>
  <c r="U158" i="11"/>
  <c r="S212" i="11"/>
  <c r="T211" i="11"/>
  <c r="U212" i="11" l="1"/>
  <c r="V212" i="11" s="1"/>
  <c r="S160" i="11"/>
  <c r="U160" i="11" s="1"/>
  <c r="U159" i="11"/>
  <c r="S213" i="11"/>
  <c r="T212" i="11"/>
  <c r="T213" i="11" l="1"/>
  <c r="U213" i="11"/>
  <c r="V213"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Larry Piercy</author>
    <author>Ketul Gondha</author>
    <author>Cathy Arnold</author>
  </authors>
  <commentList>
    <comment ref="J1" authorId="0" shapeId="0" xr:uid="{28FDF507-CC15-4966-B132-209B784BD5A4}">
      <text>
        <r>
          <rPr>
            <b/>
            <sz val="9"/>
            <color indexed="81"/>
            <rFont val="Tahoma"/>
            <family val="2"/>
          </rPr>
          <t>Larry Piercy:</t>
        </r>
        <r>
          <rPr>
            <sz val="9"/>
            <color indexed="81"/>
            <rFont val="Tahoma"/>
            <family val="2"/>
          </rPr>
          <t xml:space="preserve">
Final </t>
        </r>
      </text>
    </comment>
    <comment ref="K1" authorId="0" shapeId="0" xr:uid="{FA698D4A-8D12-45B9-AAF3-C23E05ECE763}">
      <text>
        <r>
          <rPr>
            <b/>
            <sz val="9"/>
            <color indexed="81"/>
            <rFont val="Tahoma"/>
            <family val="2"/>
          </rPr>
          <t>Larry Piercy:</t>
        </r>
        <r>
          <rPr>
            <sz val="9"/>
            <color indexed="81"/>
            <rFont val="Tahoma"/>
            <family val="2"/>
          </rPr>
          <t xml:space="preserve">
Final Review</t>
        </r>
      </text>
    </comment>
    <comment ref="W1" authorId="1" shapeId="0" xr:uid="{00000000-0006-0000-0000-000001000000}">
      <text>
        <r>
          <rPr>
            <b/>
            <sz val="9"/>
            <color rgb="FF000000"/>
            <rFont val="Tahoma"/>
            <family val="2"/>
          </rPr>
          <t>Ketul Gondha:</t>
        </r>
        <r>
          <rPr>
            <sz val="9"/>
            <color rgb="FF000000"/>
            <rFont val="Tahoma"/>
            <family val="2"/>
          </rPr>
          <t xml:space="preserve">
kitting quote added later - same job as quote 573 &amp; 592
</t>
        </r>
      </text>
    </comment>
    <comment ref="AK1" authorId="0" shapeId="0" xr:uid="{E35B0A23-7F26-4A49-983F-9D0C35D8D2AE}">
      <text>
        <r>
          <rPr>
            <b/>
            <sz val="9"/>
            <color indexed="81"/>
            <rFont val="Tahoma"/>
            <family val="2"/>
          </rPr>
          <t>Larry Piercy:</t>
        </r>
        <r>
          <rPr>
            <sz val="9"/>
            <color indexed="81"/>
            <rFont val="Tahoma"/>
            <family val="2"/>
          </rPr>
          <t xml:space="preserve">
Final </t>
        </r>
      </text>
    </comment>
    <comment ref="AA6" authorId="2" shapeId="0" xr:uid="{4FE8CBDF-033B-490D-809D-35BA33D78BC6}">
      <text>
        <r>
          <rPr>
            <b/>
            <sz val="9"/>
            <color indexed="81"/>
            <rFont val="Tahoma"/>
            <family val="2"/>
          </rPr>
          <t>Cathy Arnold:</t>
        </r>
        <r>
          <rPr>
            <sz val="9"/>
            <color indexed="81"/>
            <rFont val="Tahoma"/>
            <family val="2"/>
          </rPr>
          <t xml:space="preserve">
qty 15 = $380.94
qty 20 = $359.54
qty 50 = $295.80</t>
        </r>
      </text>
    </comment>
    <comment ref="E7" authorId="2" shapeId="0" xr:uid="{3ABBF44B-E377-440D-9A3D-1CB29279A445}">
      <text>
        <r>
          <rPr>
            <b/>
            <sz val="9"/>
            <color indexed="81"/>
            <rFont val="Tahoma"/>
            <family val="2"/>
          </rPr>
          <t>Cathy Arnold:</t>
        </r>
        <r>
          <rPr>
            <sz val="9"/>
            <color indexed="81"/>
            <rFont val="Tahoma"/>
            <family val="2"/>
          </rPr>
          <t xml:space="preserve">
price per Max, we have 2 in stock</t>
        </r>
      </text>
    </comment>
    <comment ref="D10" authorId="2" shapeId="0" xr:uid="{1F486313-BA6B-4F95-9EAE-03A4AA18C036}">
      <text>
        <r>
          <rPr>
            <b/>
            <sz val="9"/>
            <color indexed="81"/>
            <rFont val="Tahoma"/>
            <family val="2"/>
          </rPr>
          <t>Cathy Arnold:</t>
        </r>
        <r>
          <rPr>
            <sz val="9"/>
            <color indexed="81"/>
            <rFont val="Tahoma"/>
            <family val="2"/>
          </rPr>
          <t xml:space="preserve">
Digi-key A28485-ND 
TE Connectivity 103908-5 @ $1.39ea</t>
        </r>
      </text>
    </comment>
    <comment ref="H10" authorId="0" shapeId="0" xr:uid="{66F072C6-291D-445A-919E-89EC0A11DF06}">
      <text>
        <r>
          <rPr>
            <b/>
            <sz val="9"/>
            <color indexed="81"/>
            <rFont val="Tahoma"/>
            <family val="2"/>
          </rPr>
          <t>Larry Piercy:</t>
        </r>
        <r>
          <rPr>
            <sz val="9"/>
            <color indexed="81"/>
            <rFont val="Tahoma"/>
            <family val="2"/>
          </rPr>
          <t xml:space="preserve">
Customer complained - Max looking to reduce cost. </t>
        </r>
      </text>
    </comment>
    <comment ref="AH10" authorId="0" shapeId="0" xr:uid="{16E9E50F-2D23-44C2-8BC3-9B88659B9C8D}">
      <text>
        <r>
          <rPr>
            <b/>
            <sz val="9"/>
            <color indexed="81"/>
            <rFont val="Tahoma"/>
            <family val="2"/>
          </rPr>
          <t>Larry Piercy:</t>
        </r>
        <r>
          <rPr>
            <sz val="9"/>
            <color indexed="81"/>
            <rFont val="Tahoma"/>
            <family val="2"/>
          </rPr>
          <t xml:space="preserve">
Part TL783CKTTR delayed to 4/10/23. will push date out a few weeks.</t>
        </r>
      </text>
    </comment>
    <comment ref="D11" authorId="2" shapeId="0" xr:uid="{DD80EAA3-CEA2-436A-B9F9-12D81FD0295C}">
      <text>
        <r>
          <rPr>
            <b/>
            <sz val="9"/>
            <color indexed="81"/>
            <rFont val="Tahoma"/>
            <family val="2"/>
          </rPr>
          <t>Cathy Arnold:</t>
        </r>
        <r>
          <rPr>
            <sz val="9"/>
            <color indexed="81"/>
            <rFont val="Tahoma"/>
            <family val="2"/>
          </rPr>
          <t xml:space="preserve">
Digi-key A28485-ND 
TE Connectivity 103908-5 @ $1.39ea</t>
        </r>
      </text>
    </comment>
    <comment ref="H11" authorId="0" shapeId="0" xr:uid="{3EA46F71-6601-44BD-8D26-0FB1C378169D}">
      <text>
        <r>
          <rPr>
            <b/>
            <sz val="9"/>
            <color indexed="81"/>
            <rFont val="Tahoma"/>
            <family val="2"/>
          </rPr>
          <t>Larry Piercy:</t>
        </r>
        <r>
          <rPr>
            <sz val="9"/>
            <color indexed="81"/>
            <rFont val="Tahoma"/>
            <family val="2"/>
          </rPr>
          <t xml:space="preserve">
Customer complained - Max looking to reduce cost. </t>
        </r>
      </text>
    </comment>
    <comment ref="AH11" authorId="0" shapeId="0" xr:uid="{AE82EE6E-F6E6-4935-96DF-3E498B59A7CB}">
      <text>
        <r>
          <rPr>
            <b/>
            <sz val="9"/>
            <color indexed="81"/>
            <rFont val="Tahoma"/>
            <family val="2"/>
          </rPr>
          <t>Larry Piercy:</t>
        </r>
        <r>
          <rPr>
            <sz val="9"/>
            <color indexed="81"/>
            <rFont val="Tahoma"/>
            <family val="2"/>
          </rPr>
          <t xml:space="preserve">
Part TL783CKTTR delayed to 4/10/23. will push date out a few weeks.</t>
        </r>
      </text>
    </comment>
    <comment ref="D12" authorId="2" shapeId="0" xr:uid="{BC3BD01F-CDDF-4984-AAD9-4E2414F061D1}">
      <text>
        <r>
          <rPr>
            <b/>
            <sz val="9"/>
            <color indexed="81"/>
            <rFont val="Tahoma"/>
            <family val="2"/>
          </rPr>
          <t>Cathy Arnold:</t>
        </r>
        <r>
          <rPr>
            <sz val="9"/>
            <color indexed="81"/>
            <rFont val="Tahoma"/>
            <family val="2"/>
          </rPr>
          <t xml:space="preserve">
Digi-key A28485-ND 
TE Connectivity 103908-5 @ $1.77ea</t>
        </r>
      </text>
    </comment>
    <comment ref="H12" authorId="0" shapeId="0" xr:uid="{3D319AF6-BCCB-40ED-B349-33A429972EC4}">
      <text>
        <r>
          <rPr>
            <b/>
            <sz val="9"/>
            <color indexed="81"/>
            <rFont val="Tahoma"/>
            <family val="2"/>
          </rPr>
          <t>Larry Piercy:</t>
        </r>
        <r>
          <rPr>
            <sz val="9"/>
            <color indexed="81"/>
            <rFont val="Tahoma"/>
            <family val="2"/>
          </rPr>
          <t xml:space="preserve">
Customer complained - Max looking to reduce cost. </t>
        </r>
      </text>
    </comment>
    <comment ref="AH12" authorId="0" shapeId="0" xr:uid="{7A51FE0B-D057-46EB-A2FB-5595E10DDFDD}">
      <text>
        <r>
          <rPr>
            <b/>
            <sz val="9"/>
            <color indexed="81"/>
            <rFont val="Tahoma"/>
            <family val="2"/>
          </rPr>
          <t>Larry Piercy:</t>
        </r>
        <r>
          <rPr>
            <sz val="9"/>
            <color indexed="81"/>
            <rFont val="Tahoma"/>
            <family val="2"/>
          </rPr>
          <t xml:space="preserve">
Part TL783CKTTR delayed to 4/10/23. will push date out a few weeks.</t>
        </r>
      </text>
    </comment>
    <comment ref="D13" authorId="2" shapeId="0" xr:uid="{6C134ED0-2F30-43C0-BFB9-C184C2510B38}">
      <text>
        <r>
          <rPr>
            <b/>
            <sz val="9"/>
            <color indexed="81"/>
            <rFont val="Tahoma"/>
            <family val="2"/>
          </rPr>
          <t>Cathy Arnold:</t>
        </r>
        <r>
          <rPr>
            <sz val="9"/>
            <color indexed="81"/>
            <rFont val="Tahoma"/>
            <family val="2"/>
          </rPr>
          <t xml:space="preserve">
Digi-key A28485-ND 
TE Connectivity 103908-5 @ $1.77ea</t>
        </r>
      </text>
    </comment>
    <comment ref="H13" authorId="0" shapeId="0" xr:uid="{68D323A2-2F78-4FA4-8415-C4C715861C47}">
      <text>
        <r>
          <rPr>
            <b/>
            <sz val="9"/>
            <color indexed="81"/>
            <rFont val="Tahoma"/>
            <family val="2"/>
          </rPr>
          <t>Larry Piercy:</t>
        </r>
        <r>
          <rPr>
            <sz val="9"/>
            <color indexed="81"/>
            <rFont val="Tahoma"/>
            <family val="2"/>
          </rPr>
          <t xml:space="preserve">
Customer complained - Max looking to reduce cost. </t>
        </r>
      </text>
    </comment>
    <comment ref="AH13" authorId="0" shapeId="0" xr:uid="{FA6016DA-1A4C-49F6-9936-5B3257FD15DD}">
      <text>
        <r>
          <rPr>
            <b/>
            <sz val="9"/>
            <color indexed="81"/>
            <rFont val="Tahoma"/>
            <family val="2"/>
          </rPr>
          <t>Larry Piercy:</t>
        </r>
        <r>
          <rPr>
            <sz val="9"/>
            <color indexed="81"/>
            <rFont val="Tahoma"/>
            <family val="2"/>
          </rPr>
          <t xml:space="preserve">
Part TL783CKTTR delayed to 4/10/23. will push date out a few weeks.</t>
        </r>
      </text>
    </comment>
    <comment ref="AA14" authorId="2" shapeId="0" xr:uid="{2B750014-FA59-4430-9BFB-0110F33F0D64}">
      <text>
        <r>
          <rPr>
            <b/>
            <sz val="9"/>
            <color indexed="81"/>
            <rFont val="Tahoma"/>
            <family val="2"/>
          </rPr>
          <t>Cathy Arnold:</t>
        </r>
        <r>
          <rPr>
            <sz val="9"/>
            <color indexed="81"/>
            <rFont val="Tahoma"/>
            <family val="2"/>
          </rPr>
          <t xml:space="preserve">
qty 50EXP = $122.43
qty 50 = $86.42
qty 100EXP = $120.72
qty 100 = $84.95</t>
        </r>
      </text>
    </comment>
    <comment ref="E16" authorId="2" shapeId="0" xr:uid="{6EC7753F-D166-4FD6-870D-43AB9D1D3C5B}">
      <text>
        <r>
          <rPr>
            <b/>
            <sz val="9"/>
            <color indexed="81"/>
            <rFont val="Tahoma"/>
            <family val="2"/>
          </rPr>
          <t>Cathy Arnold:</t>
        </r>
        <r>
          <rPr>
            <sz val="9"/>
            <color indexed="81"/>
            <rFont val="Tahoma"/>
            <family val="2"/>
          </rPr>
          <t xml:space="preserve">
Per Pratiksha, PCB is the same for 1557-1 &amp; 1557-2</t>
        </r>
      </text>
    </comment>
    <comment ref="AA16" authorId="2" shapeId="0" xr:uid="{6A819EA3-9485-488E-B067-6C72B86B6817}">
      <text>
        <r>
          <rPr>
            <b/>
            <sz val="9"/>
            <color indexed="81"/>
            <rFont val="Tahoma"/>
            <family val="2"/>
          </rPr>
          <t>Cathy Arnold:</t>
        </r>
        <r>
          <rPr>
            <sz val="9"/>
            <color indexed="81"/>
            <rFont val="Tahoma"/>
            <family val="2"/>
          </rPr>
          <t xml:space="preserve">
qty 200 = $48.11</t>
        </r>
      </text>
    </comment>
    <comment ref="E17" authorId="2" shapeId="0" xr:uid="{7A3AD5C0-4C22-4402-B5D9-29F9FDC89E63}">
      <text>
        <r>
          <rPr>
            <b/>
            <sz val="9"/>
            <color indexed="81"/>
            <rFont val="Tahoma"/>
            <family val="2"/>
          </rPr>
          <t>Cathy Arnold:</t>
        </r>
        <r>
          <rPr>
            <sz val="9"/>
            <color indexed="81"/>
            <rFont val="Tahoma"/>
            <family val="2"/>
          </rPr>
          <t xml:space="preserve">
Per Pratiksha, PCB is the same for 1557-1 &amp; 1557-2</t>
        </r>
      </text>
    </comment>
    <comment ref="AA17" authorId="2" shapeId="0" xr:uid="{85CB098A-2000-4CFB-B3A4-6CC77174CFFA}">
      <text>
        <r>
          <rPr>
            <b/>
            <sz val="9"/>
            <color indexed="81"/>
            <rFont val="Tahoma"/>
            <family val="2"/>
          </rPr>
          <t>Cathy Arnold:</t>
        </r>
        <r>
          <rPr>
            <sz val="9"/>
            <color indexed="81"/>
            <rFont val="Tahoma"/>
            <family val="2"/>
          </rPr>
          <t xml:space="preserve">
qty 200 = $44.18</t>
        </r>
      </text>
    </comment>
    <comment ref="E18" authorId="2" shapeId="0" xr:uid="{9F5038EA-B2C4-44CC-A334-8A76E8C7F35E}">
      <text>
        <r>
          <rPr>
            <b/>
            <sz val="9"/>
            <color indexed="81"/>
            <rFont val="Tahoma"/>
            <family val="2"/>
          </rPr>
          <t>Cathy Arnold:</t>
        </r>
        <r>
          <rPr>
            <sz val="9"/>
            <color indexed="81"/>
            <rFont val="Tahoma"/>
            <family val="2"/>
          </rPr>
          <t xml:space="preserve">
Per Pratiksha - For 7254T &amp; 7254R, PCBs are same, so I have made only one PCB quote &amp; placed it in 7452TR job folder (7254TR WAGER 199-0164-0165-1 PCB QUOTE).</t>
        </r>
      </text>
    </comment>
    <comment ref="E19" authorId="2" shapeId="0" xr:uid="{988E7A3E-2CEF-4EEA-91E8-6ED730F6FE25}">
      <text>
        <r>
          <rPr>
            <b/>
            <sz val="9"/>
            <color indexed="81"/>
            <rFont val="Tahoma"/>
            <family val="2"/>
          </rPr>
          <t>Cathy Arnold:</t>
        </r>
        <r>
          <rPr>
            <sz val="9"/>
            <color indexed="81"/>
            <rFont val="Tahoma"/>
            <family val="2"/>
          </rPr>
          <t xml:space="preserve">
Per Pratiksha - For 7254T &amp; 7254R, PCBs are same, so I have made only one PCB quote &amp; placed it in 7254TR job folder (7254TR WAGER 199-0164-0165-1 PCB QUOTE).</t>
        </r>
      </text>
    </comment>
    <comment ref="E20" authorId="2" shapeId="0" xr:uid="{093CC15B-9D65-409E-AAD4-273A32F69EDC}">
      <text>
        <r>
          <rPr>
            <b/>
            <sz val="9"/>
            <color indexed="81"/>
            <rFont val="Tahoma"/>
            <family val="2"/>
          </rPr>
          <t>Cathy Arnold:</t>
        </r>
        <r>
          <rPr>
            <sz val="9"/>
            <color indexed="81"/>
            <rFont val="Tahoma"/>
            <family val="2"/>
          </rPr>
          <t xml:space="preserve">
Price per Max</t>
        </r>
      </text>
    </comment>
    <comment ref="Y20" authorId="2" shapeId="0" xr:uid="{41D0FB33-3CA0-49BA-BEDF-34158B403394}">
      <text>
        <r>
          <rPr>
            <b/>
            <sz val="9"/>
            <color indexed="81"/>
            <rFont val="Tahoma"/>
            <family val="2"/>
          </rPr>
          <t>Cathy Arnold:</t>
        </r>
        <r>
          <rPr>
            <sz val="9"/>
            <color indexed="81"/>
            <rFont val="Tahoma"/>
            <family val="2"/>
          </rPr>
          <t xml:space="preserve">
Per Praful MOQ is 5</t>
        </r>
      </text>
    </comment>
    <comment ref="AA20" authorId="2" shapeId="0" xr:uid="{8CA14ABA-64AF-4ABC-A1A6-3E0AFFB5F78E}">
      <text>
        <r>
          <rPr>
            <b/>
            <sz val="9"/>
            <color indexed="81"/>
            <rFont val="Tahoma"/>
            <family val="2"/>
          </rPr>
          <t>Cathy Arnold:</t>
        </r>
        <r>
          <rPr>
            <sz val="9"/>
            <color indexed="81"/>
            <rFont val="Tahoma"/>
            <family val="2"/>
          </rPr>
          <t xml:space="preserve">
FAI &amp; PPAP is $1250 per Max
qty 100 = $43.47
qty 150 = $41.72
qty 200 = $40.36</t>
        </r>
      </text>
    </comment>
    <comment ref="AA24" authorId="2" shapeId="0" xr:uid="{3CD49DAD-DD02-417B-BA72-2234059C8712}">
      <text>
        <r>
          <rPr>
            <b/>
            <sz val="9"/>
            <color indexed="81"/>
            <rFont val="Tahoma"/>
            <family val="2"/>
          </rPr>
          <t>Cathy Arnold:</t>
        </r>
        <r>
          <rPr>
            <sz val="9"/>
            <color indexed="81"/>
            <rFont val="Tahoma"/>
            <family val="2"/>
          </rPr>
          <t xml:space="preserve">
qty 100 = $68.81</t>
        </r>
      </text>
    </comment>
    <comment ref="AA25" authorId="2" shapeId="0" xr:uid="{F3791D2A-8094-4328-9B23-D50057174E99}">
      <text>
        <r>
          <rPr>
            <b/>
            <sz val="9"/>
            <color indexed="81"/>
            <rFont val="Tahoma"/>
            <family val="2"/>
          </rPr>
          <t>Cathy Arnold:</t>
        </r>
        <r>
          <rPr>
            <sz val="9"/>
            <color indexed="81"/>
            <rFont val="Tahoma"/>
            <family val="2"/>
          </rPr>
          <t xml:space="preserve">
qty 50 = 21.77
qty 100 = $17.41
qty 200 = $15.72
qty 50 EXP = $32.84
qty 100 EXP = $28.24</t>
        </r>
      </text>
    </comment>
    <comment ref="AA26" authorId="2" shapeId="0" xr:uid="{CD7D7322-CB05-4F95-A133-1F059821C1A5}">
      <text>
        <r>
          <rPr>
            <b/>
            <sz val="9"/>
            <color indexed="81"/>
            <rFont val="Tahoma"/>
            <family val="2"/>
          </rPr>
          <t>Cathy Arnold:</t>
        </r>
        <r>
          <rPr>
            <sz val="9"/>
            <color indexed="81"/>
            <rFont val="Tahoma"/>
            <family val="2"/>
          </rPr>
          <t xml:space="preserve">
qty 50 = $
qty 100 = $
qty 50 EXP = $
qty 100 EXP = $</t>
        </r>
      </text>
    </comment>
    <comment ref="AA27" authorId="2" shapeId="0" xr:uid="{0E809E88-96D8-49ED-B5F8-FD1AD503285D}">
      <text>
        <r>
          <rPr>
            <b/>
            <sz val="9"/>
            <color indexed="81"/>
            <rFont val="Tahoma"/>
            <family val="2"/>
          </rPr>
          <t>Cathy Arnold:</t>
        </r>
        <r>
          <rPr>
            <sz val="9"/>
            <color indexed="81"/>
            <rFont val="Tahoma"/>
            <family val="2"/>
          </rPr>
          <t xml:space="preserve">
qty 650 = $94.30
qty 1300 = $90.72
All shipments to be released within one year.</t>
        </r>
      </text>
    </comment>
    <comment ref="AA31" authorId="0" shapeId="0" xr:uid="{AFD41348-31D1-4CEB-8606-9BEB4FB78990}">
      <text>
        <r>
          <rPr>
            <b/>
            <sz val="9"/>
            <color indexed="81"/>
            <rFont val="Tahoma"/>
            <family val="2"/>
          </rPr>
          <t>Larry Piercy:</t>
        </r>
        <r>
          <rPr>
            <sz val="9"/>
            <color indexed="81"/>
            <rFont val="Tahoma"/>
            <family val="2"/>
          </rPr>
          <t xml:space="preserve">
10000=.24 Next time .26
20000=.20 Next time  .22</t>
        </r>
      </text>
    </comment>
    <comment ref="E32" authorId="2" shapeId="0" xr:uid="{4454F42E-6357-4B4F-A118-A91F6FCDAFE1}">
      <text>
        <r>
          <rPr>
            <b/>
            <sz val="9"/>
            <color indexed="81"/>
            <rFont val="Tahoma"/>
            <family val="2"/>
          </rPr>
          <t>Cathy Arnold:</t>
        </r>
        <r>
          <rPr>
            <sz val="9"/>
            <color indexed="81"/>
            <rFont val="Tahoma"/>
            <family val="2"/>
          </rPr>
          <t xml:space="preserve">
Price per Praful</t>
        </r>
      </text>
    </comment>
    <comment ref="H33" authorId="0" shapeId="0" xr:uid="{5EAB5850-470E-47F6-80FE-53E4E82BEFDE}">
      <text>
        <r>
          <rPr>
            <b/>
            <sz val="9"/>
            <color indexed="81"/>
            <rFont val="Tahoma"/>
            <family val="2"/>
          </rPr>
          <t>Larry Piercy:</t>
        </r>
        <r>
          <rPr>
            <sz val="9"/>
            <color indexed="81"/>
            <rFont val="Tahoma"/>
            <family val="2"/>
          </rPr>
          <t xml:space="preserve">
Quoted by Praful</t>
        </r>
      </text>
    </comment>
    <comment ref="T33" authorId="0" shapeId="0" xr:uid="{EC159684-B53A-43A4-B17E-66D5B30542DB}">
      <text>
        <r>
          <rPr>
            <b/>
            <sz val="9"/>
            <color indexed="81"/>
            <rFont val="Tahoma"/>
            <family val="2"/>
          </rPr>
          <t>Larry Piercy:</t>
        </r>
        <r>
          <rPr>
            <sz val="9"/>
            <color indexed="81"/>
            <rFont val="Tahoma"/>
            <family val="2"/>
          </rPr>
          <t xml:space="preserve">
8100-0073-00 
FPC/MPC </t>
        </r>
        <r>
          <rPr>
            <b/>
            <sz val="9"/>
            <color indexed="81"/>
            <rFont val="Tahoma"/>
            <family val="2"/>
          </rPr>
          <t>Raw PCB</t>
        </r>
        <r>
          <rPr>
            <sz val="9"/>
            <color indexed="81"/>
            <rFont val="Tahoma"/>
            <family val="2"/>
          </rPr>
          <t xml:space="preserve">
</t>
        </r>
        <r>
          <rPr>
            <b/>
            <sz val="9"/>
            <color indexed="81"/>
            <rFont val="Tahoma"/>
            <family val="2"/>
          </rPr>
          <t>[ 006-0499-003 ]</t>
        </r>
      </text>
    </comment>
    <comment ref="AA33" authorId="0" shapeId="0" xr:uid="{4FE9BDE3-0AA2-4114-A92E-5B46FE16290F}">
      <text>
        <r>
          <rPr>
            <b/>
            <sz val="9"/>
            <color indexed="81"/>
            <rFont val="Tahoma"/>
            <family val="2"/>
          </rPr>
          <t>Larry Piercy:</t>
        </r>
        <r>
          <rPr>
            <sz val="9"/>
            <color indexed="81"/>
            <rFont val="Tahoma"/>
            <family val="2"/>
          </rPr>
          <t xml:space="preserve">
added QTY: 100pcs          
Cost: $6.14ea                            
</t>
        </r>
      </text>
    </comment>
    <comment ref="AA35" authorId="2" shapeId="0" xr:uid="{2DADDE7E-0F43-4017-B67B-90C49FC960B1}">
      <text>
        <r>
          <rPr>
            <b/>
            <sz val="9"/>
            <color indexed="81"/>
            <rFont val="Tahoma"/>
            <family val="2"/>
          </rPr>
          <t>Cathy Arnold:</t>
        </r>
        <r>
          <rPr>
            <sz val="9"/>
            <color indexed="81"/>
            <rFont val="Tahoma"/>
            <family val="2"/>
          </rPr>
          <t xml:space="preserve">
3030127
50 2.5 weeks $32.46ea.
50 6 weeks $16.29ea.
100 6 weeks $15.58ea.
200 2.5 weeks $31.06ea.
200 6 weeks $15.24ea.
NRE Pricing (One Time Setup): $550.00
FAI: $350.00</t>
        </r>
      </text>
    </comment>
    <comment ref="E36" authorId="2" shapeId="0" xr:uid="{7401676A-7B0E-400E-BA29-247F8BB4379D}">
      <text>
        <r>
          <rPr>
            <b/>
            <sz val="9"/>
            <color indexed="81"/>
            <rFont val="Tahoma"/>
            <family val="2"/>
          </rPr>
          <t>Cathy Arnold:</t>
        </r>
        <r>
          <rPr>
            <sz val="9"/>
            <color indexed="81"/>
            <rFont val="Tahoma"/>
            <family val="2"/>
          </rPr>
          <t xml:space="preserve">
Max to outsource this cable harness</t>
        </r>
      </text>
    </comment>
    <comment ref="AA36" authorId="2" shapeId="0" xr:uid="{A0D81F8C-4647-461F-90F6-9E0B357D37DD}">
      <text>
        <r>
          <rPr>
            <b/>
            <sz val="9"/>
            <color indexed="81"/>
            <rFont val="Tahoma"/>
            <family val="2"/>
          </rPr>
          <t>Cathy Arnold:</t>
        </r>
        <r>
          <rPr>
            <sz val="9"/>
            <color indexed="81"/>
            <rFont val="Tahoma"/>
            <family val="2"/>
          </rPr>
          <t xml:space="preserve">
qty 180 = $22.29</t>
        </r>
      </text>
    </comment>
    <comment ref="E37" authorId="2" shapeId="0" xr:uid="{6395CE75-85FD-42A9-9751-C34A31A57B74}">
      <text>
        <r>
          <rPr>
            <b/>
            <sz val="9"/>
            <color indexed="81"/>
            <rFont val="Tahoma"/>
            <family val="2"/>
          </rPr>
          <t>Cathy Arnold:</t>
        </r>
        <r>
          <rPr>
            <sz val="9"/>
            <color indexed="81"/>
            <rFont val="Tahoma"/>
            <family val="2"/>
          </rPr>
          <t xml:space="preserve">
Max to outsource this cable harness</t>
        </r>
      </text>
    </comment>
    <comment ref="AA37" authorId="2" shapeId="0" xr:uid="{FD05BA0A-16E9-454C-A000-716C0487765B}">
      <text>
        <r>
          <rPr>
            <b/>
            <sz val="9"/>
            <color indexed="81"/>
            <rFont val="Tahoma"/>
            <family val="2"/>
          </rPr>
          <t>Cathy Arnold:</t>
        </r>
        <r>
          <rPr>
            <sz val="9"/>
            <color indexed="81"/>
            <rFont val="Tahoma"/>
            <family val="2"/>
          </rPr>
          <t xml:space="preserve">
qty 30 = 31.52
qty 15 = 35.81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Sheffield</author>
    <author>Larry Piercy</author>
  </authors>
  <commentList>
    <comment ref="J30" authorId="0" shapeId="0" xr:uid="{355304EB-DFE8-448F-9B85-21E9F8C361E5}">
      <text>
        <r>
          <rPr>
            <b/>
            <sz val="9"/>
            <color indexed="81"/>
            <rFont val="Tahoma"/>
            <family val="2"/>
          </rPr>
          <t>Tim Sheffield:</t>
        </r>
        <r>
          <rPr>
            <sz val="9"/>
            <color indexed="81"/>
            <rFont val="Tahoma"/>
            <family val="2"/>
          </rPr>
          <t xml:space="preserve">
reciepts go to AParra@crawfordelectricsupply.com</t>
        </r>
      </text>
    </comment>
    <comment ref="O30" authorId="0" shapeId="0" xr:uid="{29EFEAF9-4602-4BFF-AC56-30BF0AC9B95D}">
      <text>
        <r>
          <rPr>
            <b/>
            <sz val="9"/>
            <color indexed="81"/>
            <rFont val="Tahoma"/>
            <family val="2"/>
          </rPr>
          <t>Tim Sheffield:</t>
        </r>
        <r>
          <rPr>
            <sz val="9"/>
            <color indexed="81"/>
            <rFont val="Tahoma"/>
            <family val="2"/>
          </rPr>
          <t xml:space="preserve">
Includes 3% CC fee.</t>
        </r>
      </text>
    </comment>
    <comment ref="C31" authorId="0" shapeId="0" xr:uid="{C2360E5C-F448-4363-95A5-78C8718A645C}">
      <text>
        <r>
          <rPr>
            <b/>
            <sz val="9"/>
            <color indexed="81"/>
            <rFont val="Tahoma"/>
            <family val="2"/>
          </rPr>
          <t>Tim Sheffield:</t>
        </r>
        <r>
          <rPr>
            <sz val="9"/>
            <color indexed="81"/>
            <rFont val="Tahoma"/>
            <family val="2"/>
          </rPr>
          <t xml:space="preserve">
Added $0.75 per unit shipping to his TX address. </t>
        </r>
      </text>
    </comment>
    <comment ref="P31" authorId="0" shapeId="0" xr:uid="{7ED59A17-3C0E-46D7-8F7E-3397E8FA9702}">
      <text>
        <r>
          <rPr>
            <b/>
            <sz val="9"/>
            <color indexed="81"/>
            <rFont val="Tahoma"/>
            <family val="2"/>
          </rPr>
          <t>Tim Sheffield:</t>
        </r>
        <r>
          <rPr>
            <sz val="9"/>
            <color indexed="81"/>
            <rFont val="Tahoma"/>
            <family val="2"/>
          </rPr>
          <t xml:space="preserve">
ACH</t>
        </r>
      </text>
    </comment>
    <comment ref="R31" authorId="0" shapeId="0" xr:uid="{EE1F4E76-2727-476F-ADD0-8D63FF152C64}">
      <text>
        <r>
          <rPr>
            <b/>
            <sz val="9"/>
            <color indexed="81"/>
            <rFont val="Tahoma"/>
            <family val="2"/>
          </rPr>
          <t>Tim Sheffield:</t>
        </r>
        <r>
          <rPr>
            <sz val="9"/>
            <color indexed="81"/>
            <rFont val="Tahoma"/>
            <family val="2"/>
          </rPr>
          <t xml:space="preserve">
Added $0.75 per unit shipping to his TX address. </t>
        </r>
      </text>
    </comment>
    <comment ref="X31" authorId="1" shapeId="0" xr:uid="{B4EECC8D-464C-4DD1-9DDD-990B6FF34A17}">
      <text>
        <r>
          <rPr>
            <b/>
            <sz val="9"/>
            <color indexed="81"/>
            <rFont val="Tahoma"/>
            <family val="2"/>
          </rPr>
          <t>Larry Piercy:</t>
        </r>
        <r>
          <rPr>
            <sz val="9"/>
            <color indexed="81"/>
            <rFont val="Tahoma"/>
            <family val="2"/>
          </rPr>
          <t xml:space="preserve">
If customer uses CC via Wells Fargo portal - add 3% to price. </t>
        </r>
      </text>
    </comment>
    <comment ref="C32" authorId="0" shapeId="0" xr:uid="{75036894-EE38-4722-8F9B-E74D27BDDB23}">
      <text>
        <r>
          <rPr>
            <b/>
            <sz val="9"/>
            <color indexed="81"/>
            <rFont val="Tahoma"/>
            <family val="2"/>
          </rPr>
          <t>Tim Sheffield:</t>
        </r>
        <r>
          <rPr>
            <sz val="9"/>
            <color indexed="81"/>
            <rFont val="Tahoma"/>
            <family val="2"/>
          </rPr>
          <t xml:space="preserve">
From old quote</t>
        </r>
      </text>
    </comment>
    <comment ref="M33" authorId="0" shapeId="0" xr:uid="{56AA3B77-2D10-49FF-B80E-A63A0B655CAE}">
      <text>
        <r>
          <rPr>
            <b/>
            <sz val="9"/>
            <color indexed="81"/>
            <rFont val="Tahoma"/>
            <family val="2"/>
          </rPr>
          <t>Tim Sheffield:</t>
        </r>
        <r>
          <rPr>
            <sz val="9"/>
            <color indexed="81"/>
            <rFont val="Tahoma"/>
            <family val="2"/>
          </rPr>
          <t xml:space="preserve">
Quoted 1002-120V but same price.</t>
        </r>
      </text>
    </comment>
    <comment ref="J34" authorId="0" shapeId="0" xr:uid="{536A7894-A10E-4815-94BC-7DE48CF947DC}">
      <text>
        <r>
          <rPr>
            <b/>
            <sz val="9"/>
            <color indexed="81"/>
            <rFont val="Tahoma"/>
            <family val="2"/>
          </rPr>
          <t>Tim Sheffield:</t>
        </r>
        <r>
          <rPr>
            <sz val="9"/>
            <color indexed="81"/>
            <rFont val="Tahoma"/>
            <family val="2"/>
          </rPr>
          <t xml:space="preserve">
reciepts go to AParra@crawfordelectricsupply.com</t>
        </r>
      </text>
    </comment>
    <comment ref="O34" authorId="0" shapeId="0" xr:uid="{27245F1C-05C5-440B-BD82-CE57EF5B205F}">
      <text>
        <r>
          <rPr>
            <b/>
            <sz val="9"/>
            <color indexed="81"/>
            <rFont val="Tahoma"/>
            <family val="2"/>
          </rPr>
          <t>Includes 3% CC fee</t>
        </r>
      </text>
    </comment>
    <comment ref="C40" authorId="0" shapeId="0" xr:uid="{C69DCF52-6FEE-4C10-9286-B2F6848579C5}">
      <text>
        <r>
          <rPr>
            <b/>
            <sz val="9"/>
            <color indexed="81"/>
            <rFont val="Tahoma"/>
            <family val="2"/>
          </rPr>
          <t>Tim Sheffield:</t>
        </r>
        <r>
          <rPr>
            <sz val="9"/>
            <color indexed="81"/>
            <rFont val="Tahoma"/>
            <family val="2"/>
          </rPr>
          <t xml:space="preserve">
Wait for PO with cc fee</t>
        </r>
      </text>
    </comment>
    <comment ref="R40" authorId="0" shapeId="0" xr:uid="{A3D6A9DF-4C0A-46F1-8E95-89FC1EDC8DEA}">
      <text>
        <r>
          <rPr>
            <b/>
            <sz val="9"/>
            <color indexed="81"/>
            <rFont val="Tahoma"/>
            <family val="2"/>
          </rPr>
          <t>Tim Sheffield:</t>
        </r>
        <r>
          <rPr>
            <sz val="9"/>
            <color indexed="81"/>
            <rFont val="Tahoma"/>
            <family val="2"/>
          </rPr>
          <t xml:space="preserve">
Wait for PO with cc fee</t>
        </r>
      </text>
    </comment>
    <comment ref="C41" authorId="0" shapeId="0" xr:uid="{4F43FEA7-D839-42BF-8A56-CFD8C899A8C3}">
      <text>
        <r>
          <rPr>
            <b/>
            <sz val="9"/>
            <color indexed="81"/>
            <rFont val="Tahoma"/>
            <family val="2"/>
          </rPr>
          <t>Tim Sheffield:</t>
        </r>
        <r>
          <rPr>
            <sz val="9"/>
            <color indexed="81"/>
            <rFont val="Tahoma"/>
            <family val="2"/>
          </rPr>
          <t xml:space="preserve">
Wait for PO with cc fee</t>
        </r>
      </text>
    </comment>
    <comment ref="R41" authorId="0" shapeId="0" xr:uid="{4C831C35-8079-4009-9479-C0EA0670B5DB}">
      <text>
        <r>
          <rPr>
            <b/>
            <sz val="9"/>
            <color indexed="81"/>
            <rFont val="Tahoma"/>
            <family val="2"/>
          </rPr>
          <t>Tim Sheffield:</t>
        </r>
        <r>
          <rPr>
            <sz val="9"/>
            <color indexed="81"/>
            <rFont val="Tahoma"/>
            <family val="2"/>
          </rPr>
          <t xml:space="preserve">
Wait for PO with cc fee</t>
        </r>
      </text>
    </comment>
    <comment ref="C42" authorId="0" shapeId="0" xr:uid="{0775F0BE-693F-41E9-89CE-7E61C57212BE}">
      <text>
        <r>
          <rPr>
            <b/>
            <sz val="9"/>
            <color indexed="81"/>
            <rFont val="Tahoma"/>
            <family val="2"/>
          </rPr>
          <t>Tim Sheffield:</t>
        </r>
        <r>
          <rPr>
            <sz val="9"/>
            <color indexed="81"/>
            <rFont val="Tahoma"/>
            <family val="2"/>
          </rPr>
          <t xml:space="preserve">
From old quote</t>
        </r>
      </text>
    </comment>
    <comment ref="C43" authorId="0" shapeId="0" xr:uid="{6AC43FCB-525F-4235-ADDF-C13D4E0B1BF9}">
      <text>
        <r>
          <rPr>
            <b/>
            <sz val="9"/>
            <color indexed="81"/>
            <rFont val="Tahoma"/>
            <family val="2"/>
          </rPr>
          <t>Tim Sheffield:</t>
        </r>
        <r>
          <rPr>
            <sz val="9"/>
            <color indexed="81"/>
            <rFont val="Tahoma"/>
            <family val="2"/>
          </rPr>
          <t xml:space="preserve">
Email approval of cc fee</t>
        </r>
      </text>
    </comment>
    <comment ref="O51" authorId="0" shapeId="0" xr:uid="{A9292949-4D71-4963-9473-24BCE56625CD}">
      <text>
        <r>
          <rPr>
            <sz val="9"/>
            <color indexed="81"/>
            <rFont val="Tahoma"/>
            <family val="2"/>
          </rPr>
          <t xml:space="preserve">
Order sent in error gave a discount on this order only</t>
        </r>
      </text>
    </comment>
    <comment ref="O52" authorId="0" shapeId="0" xr:uid="{1A783A29-A7FA-4765-822F-DFB67FF06710}">
      <text>
        <r>
          <rPr>
            <b/>
            <sz val="9"/>
            <color indexed="81"/>
            <rFont val="Tahoma"/>
            <family val="2"/>
          </rPr>
          <t>Tim Sheffield:</t>
        </r>
        <r>
          <rPr>
            <sz val="9"/>
            <color indexed="81"/>
            <rFont val="Tahoma"/>
            <family val="2"/>
          </rPr>
          <t xml:space="preserve">
Order sent in error gave a discount on this order only</t>
        </r>
      </text>
    </comment>
    <comment ref="O53" authorId="0" shapeId="0" xr:uid="{43030966-E115-4965-B325-DC6C0D02CB44}">
      <text>
        <r>
          <rPr>
            <b/>
            <sz val="9"/>
            <color indexed="81"/>
            <rFont val="Tahoma"/>
            <family val="2"/>
          </rPr>
          <t>Tim Sheffield:</t>
        </r>
        <r>
          <rPr>
            <sz val="9"/>
            <color indexed="81"/>
            <rFont val="Tahoma"/>
            <family val="2"/>
          </rPr>
          <t xml:space="preserve">
Order sent in error gave a discount on this order only</t>
        </r>
      </text>
    </comment>
    <comment ref="O54" authorId="0" shapeId="0" xr:uid="{C53B4FCF-02AD-49E2-9DE5-7F7FEC42F7D6}">
      <text>
        <r>
          <rPr>
            <b/>
            <sz val="9"/>
            <color indexed="81"/>
            <rFont val="Tahoma"/>
            <family val="2"/>
          </rPr>
          <t>Tim Sheffield:</t>
        </r>
        <r>
          <rPr>
            <sz val="9"/>
            <color indexed="81"/>
            <rFont val="Tahoma"/>
            <family val="2"/>
          </rPr>
          <t xml:space="preserve">
Order sent in error gave a discount on this order only</t>
        </r>
      </text>
    </comment>
    <comment ref="M55" authorId="0" shapeId="0" xr:uid="{14E4030C-8188-44AF-9125-8AB5C4C34955}">
      <text>
        <r>
          <rPr>
            <b/>
            <sz val="9"/>
            <color indexed="81"/>
            <rFont val="Tahoma"/>
            <family val="2"/>
          </rPr>
          <t>Tim Sheffield:</t>
        </r>
        <r>
          <rPr>
            <sz val="9"/>
            <color indexed="81"/>
            <rFont val="Tahoma"/>
            <family val="2"/>
          </rPr>
          <t xml:space="preserve">
Quoted 1002-120V but same price.</t>
        </r>
      </text>
    </comment>
    <comment ref="J66" authorId="0" shapeId="0" xr:uid="{DD950387-BFAB-43EE-9B3E-5AB5BB950FE2}">
      <text>
        <r>
          <rPr>
            <b/>
            <sz val="9"/>
            <color indexed="81"/>
            <rFont val="Tahoma"/>
            <family val="2"/>
          </rPr>
          <t>Tim Sheffield:</t>
        </r>
        <r>
          <rPr>
            <sz val="9"/>
            <color indexed="81"/>
            <rFont val="Tahoma"/>
            <family val="2"/>
          </rPr>
          <t xml:space="preserve">
reciepts go to AParra@crawfordelectricsupply.com</t>
        </r>
      </text>
    </comment>
    <comment ref="O66" authorId="0" shapeId="0" xr:uid="{3BE539A2-C50E-4CB2-97FC-70BF4B60433C}">
      <text>
        <r>
          <rPr>
            <b/>
            <sz val="9"/>
            <color indexed="81"/>
            <rFont val="Tahoma"/>
            <family val="2"/>
          </rPr>
          <t>Includes 3% CC fee</t>
        </r>
      </text>
    </comment>
    <comment ref="S71" authorId="1" shapeId="0" xr:uid="{0927715A-CD35-4BC2-8B48-794AA60FEAA3}">
      <text>
        <r>
          <rPr>
            <b/>
            <sz val="9"/>
            <color indexed="81"/>
            <rFont val="Tahoma"/>
            <family val="2"/>
          </rPr>
          <t>Larry Piercy:</t>
        </r>
        <r>
          <rPr>
            <sz val="9"/>
            <color indexed="81"/>
            <rFont val="Tahoma"/>
            <family val="2"/>
          </rPr>
          <t xml:space="preserve">
Proforma invoice - would not send an updated PO</t>
        </r>
      </text>
    </comment>
    <comment ref="S72" authorId="1" shapeId="0" xr:uid="{C676198B-B4D5-497E-8DE6-919EF0DF7BF7}">
      <text>
        <r>
          <rPr>
            <b/>
            <sz val="9"/>
            <color indexed="81"/>
            <rFont val="Tahoma"/>
            <family val="2"/>
          </rPr>
          <t>Larry Piercy:</t>
        </r>
        <r>
          <rPr>
            <sz val="9"/>
            <color indexed="81"/>
            <rFont val="Tahoma"/>
            <family val="2"/>
          </rPr>
          <t xml:space="preserve">
Proforma invoice - would not send an updated PO</t>
        </r>
      </text>
    </comment>
    <comment ref="S73" authorId="1" shapeId="0" xr:uid="{218A29A0-A75C-47A6-BDA2-10FD9A48F2BD}">
      <text>
        <r>
          <rPr>
            <b/>
            <sz val="9"/>
            <color indexed="81"/>
            <rFont val="Tahoma"/>
            <family val="2"/>
          </rPr>
          <t>Larry Piercy:</t>
        </r>
        <r>
          <rPr>
            <sz val="9"/>
            <color indexed="81"/>
            <rFont val="Tahoma"/>
            <family val="2"/>
          </rPr>
          <t xml:space="preserve">
Proforma invoice - would not send an updated PO</t>
        </r>
      </text>
    </comment>
    <comment ref="O74" authorId="1" shapeId="0" xr:uid="{D0D94281-3869-4C2C-B67A-DC92C47C1729}">
      <text>
        <r>
          <rPr>
            <b/>
            <sz val="9"/>
            <color indexed="81"/>
            <rFont val="Tahoma"/>
            <family val="2"/>
          </rPr>
          <t>Larry Piercy:</t>
        </r>
        <r>
          <rPr>
            <sz val="9"/>
            <color indexed="81"/>
            <rFont val="Tahoma"/>
            <family val="2"/>
          </rPr>
          <t xml:space="preserve">
includes 3% CC fee
</t>
        </r>
      </text>
    </comment>
    <comment ref="Q74" authorId="1" shapeId="0" xr:uid="{46E1F75C-C575-4A26-957D-5135452CB2C0}">
      <text>
        <r>
          <rPr>
            <b/>
            <sz val="9"/>
            <color indexed="81"/>
            <rFont val="Tahoma"/>
            <family val="2"/>
          </rPr>
          <t>Larry Piercy:</t>
        </r>
        <r>
          <rPr>
            <sz val="9"/>
            <color indexed="81"/>
            <rFont val="Tahoma"/>
            <family val="2"/>
          </rPr>
          <t xml:space="preserve">
1 week shipping</t>
        </r>
      </text>
    </comment>
    <comment ref="F78" authorId="1" shapeId="0" xr:uid="{022B729D-5586-4636-8115-E226D448CD8D}">
      <text>
        <r>
          <rPr>
            <b/>
            <sz val="9"/>
            <color indexed="81"/>
            <rFont val="Tahoma"/>
            <family val="2"/>
          </rPr>
          <t>Larry Piercy:</t>
        </r>
        <r>
          <rPr>
            <sz val="9"/>
            <color indexed="81"/>
            <rFont val="Tahoma"/>
            <family val="2"/>
          </rPr>
          <t xml:space="preserve">
Net 30 terms but pays with CC at 30 days so add 3% to item cost</t>
        </r>
      </text>
    </comment>
    <comment ref="J87" authorId="0" shapeId="0" xr:uid="{903988C1-E9F7-4E95-A9D6-AC7C7C14992F}">
      <text>
        <r>
          <rPr>
            <b/>
            <sz val="9"/>
            <color indexed="81"/>
            <rFont val="Tahoma"/>
            <family val="2"/>
          </rPr>
          <t>Tim Sheffield:</t>
        </r>
        <r>
          <rPr>
            <sz val="9"/>
            <color indexed="81"/>
            <rFont val="Tahoma"/>
            <family val="2"/>
          </rPr>
          <t xml:space="preserve">
reciepts go to AParra@crawfordelectricsupply.com</t>
        </r>
      </text>
    </comment>
    <comment ref="O87" authorId="0" shapeId="0" xr:uid="{175C2464-5620-4087-B53B-DE9004F60179}">
      <text>
        <r>
          <rPr>
            <b/>
            <sz val="9"/>
            <color indexed="81"/>
            <rFont val="Tahoma"/>
            <family val="2"/>
          </rPr>
          <t>Tim Sheffield:</t>
        </r>
        <r>
          <rPr>
            <sz val="9"/>
            <color indexed="81"/>
            <rFont val="Tahoma"/>
            <family val="2"/>
          </rPr>
          <t xml:space="preserve">
Includes 3% CC fee.</t>
        </r>
      </text>
    </comment>
    <comment ref="O89" authorId="1" shapeId="0" xr:uid="{333774CA-F159-417B-AF3E-D4AF8BD90CA3}">
      <text>
        <r>
          <rPr>
            <b/>
            <sz val="9"/>
            <color indexed="81"/>
            <rFont val="Tahoma"/>
            <family val="2"/>
          </rPr>
          <t>Larry Piercy:</t>
        </r>
        <r>
          <rPr>
            <sz val="9"/>
            <color indexed="81"/>
            <rFont val="Tahoma"/>
            <family val="2"/>
          </rPr>
          <t xml:space="preserve">
6 week lead time - need to get lead free boards.</t>
        </r>
      </text>
    </comment>
    <comment ref="F90" authorId="1" shapeId="0" xr:uid="{AE9F2D12-8EEE-4038-915C-4E5C8FF8FD52}">
      <text>
        <r>
          <rPr>
            <b/>
            <sz val="9"/>
            <color indexed="81"/>
            <rFont val="Tahoma"/>
            <family val="2"/>
          </rPr>
          <t>Larry Piercy:</t>
        </r>
        <r>
          <rPr>
            <sz val="9"/>
            <color indexed="81"/>
            <rFont val="Tahoma"/>
            <family val="2"/>
          </rPr>
          <t xml:space="preserve">
Changing to Bosch </t>
        </r>
      </text>
    </comment>
    <comment ref="J91" authorId="0" shapeId="0" xr:uid="{3910C690-DB89-438C-B9FD-E9FE19A9832C}">
      <text>
        <r>
          <rPr>
            <b/>
            <sz val="9"/>
            <color indexed="81"/>
            <rFont val="Tahoma"/>
            <family val="2"/>
          </rPr>
          <t>Tim Sheffield:</t>
        </r>
        <r>
          <rPr>
            <sz val="9"/>
            <color indexed="81"/>
            <rFont val="Tahoma"/>
            <family val="2"/>
          </rPr>
          <t xml:space="preserve">
reciepts go to AParra@crawfordelectricsupply.com</t>
        </r>
      </text>
    </comment>
    <comment ref="O91" authorId="0" shapeId="0" xr:uid="{13E572F5-F4BB-4989-A338-400E26278C52}">
      <text>
        <r>
          <rPr>
            <b/>
            <sz val="9"/>
            <color indexed="81"/>
            <rFont val="Tahoma"/>
            <family val="2"/>
          </rPr>
          <t>Tim Sheffield:</t>
        </r>
        <r>
          <rPr>
            <sz val="9"/>
            <color indexed="81"/>
            <rFont val="Tahoma"/>
            <family val="2"/>
          </rPr>
          <t xml:space="preserve">
Includes 3% CC fee.</t>
        </r>
      </text>
    </comment>
    <comment ref="C92" authorId="0" shapeId="0" xr:uid="{3EEB64C2-ED88-4E35-B6B3-70E227545926}">
      <text>
        <r>
          <rPr>
            <b/>
            <sz val="9"/>
            <color indexed="81"/>
            <rFont val="Tahoma"/>
            <family val="2"/>
          </rPr>
          <t>Tim Sheffield:</t>
        </r>
        <r>
          <rPr>
            <sz val="9"/>
            <color indexed="81"/>
            <rFont val="Tahoma"/>
            <family val="2"/>
          </rPr>
          <t xml:space="preserve">
Email approval of cc fee always add cc fee to total. Cust did not want lower price for higher qty.</t>
        </r>
      </text>
    </comment>
    <comment ref="J94" authorId="0" shapeId="0" xr:uid="{94882C50-C623-4E8B-8E6A-51E71ACA40CF}">
      <text>
        <r>
          <rPr>
            <b/>
            <sz val="9"/>
            <color indexed="81"/>
            <rFont val="Tahoma"/>
            <family val="2"/>
          </rPr>
          <t>Tim Sheffield:</t>
        </r>
        <r>
          <rPr>
            <sz val="9"/>
            <color indexed="81"/>
            <rFont val="Tahoma"/>
            <family val="2"/>
          </rPr>
          <t xml:space="preserve">
reciepts go to AParra@crawfordelectricsupply.com</t>
        </r>
      </text>
    </comment>
    <comment ref="O94" authorId="0" shapeId="0" xr:uid="{D4E3A2A1-EDC6-40DB-BCD5-F660F305B733}">
      <text>
        <r>
          <rPr>
            <b/>
            <sz val="9"/>
            <color indexed="81"/>
            <rFont val="Tahoma"/>
            <family val="2"/>
          </rPr>
          <t>Tim Sheffield:</t>
        </r>
        <r>
          <rPr>
            <sz val="9"/>
            <color indexed="81"/>
            <rFont val="Tahoma"/>
            <family val="2"/>
          </rPr>
          <t xml:space="preserve">
Includes 3% CC fee.</t>
        </r>
      </text>
    </comment>
    <comment ref="D97" authorId="1" shapeId="0" xr:uid="{DA5157E5-2BE3-4ACB-BBEF-FDF0A4DD2C43}">
      <text>
        <r>
          <rPr>
            <b/>
            <sz val="9"/>
            <color indexed="81"/>
            <rFont val="Tahoma"/>
            <family val="2"/>
          </rPr>
          <t>Larry Piercy:</t>
        </r>
        <r>
          <rPr>
            <sz val="9"/>
            <color indexed="81"/>
            <rFont val="Tahoma"/>
            <family val="2"/>
          </rPr>
          <t xml:space="preserve">
JOHN PIETRUSZEWSKI</t>
        </r>
      </text>
    </comment>
    <comment ref="O97" authorId="1" shapeId="0" xr:uid="{004C771D-220E-4454-A13F-D22A5787BBB2}">
      <text>
        <r>
          <rPr>
            <b/>
            <sz val="9"/>
            <color indexed="81"/>
            <rFont val="Tahoma"/>
            <family val="2"/>
          </rPr>
          <t>Larry Piercy:</t>
        </r>
        <r>
          <rPr>
            <sz val="9"/>
            <color indexed="81"/>
            <rFont val="Tahoma"/>
            <family val="2"/>
          </rPr>
          <t xml:space="preserve">
CC fee included</t>
        </r>
      </text>
    </comment>
    <comment ref="O98" authorId="1" shapeId="0" xr:uid="{011C67F5-0E6E-468E-B28C-7D85F759DD9E}">
      <text>
        <r>
          <rPr>
            <b/>
            <sz val="9"/>
            <color indexed="81"/>
            <rFont val="Tahoma"/>
            <family val="2"/>
          </rPr>
          <t>Larry Piercy:</t>
        </r>
        <r>
          <rPr>
            <sz val="9"/>
            <color indexed="81"/>
            <rFont val="Tahoma"/>
            <family val="2"/>
          </rPr>
          <t xml:space="preserve">
CC fee included</t>
        </r>
      </text>
    </comment>
    <comment ref="O99" authorId="1" shapeId="0" xr:uid="{710CB1F8-9A27-44B8-ACCD-1AC8217D607A}">
      <text>
        <r>
          <rPr>
            <b/>
            <sz val="9"/>
            <color indexed="81"/>
            <rFont val="Tahoma"/>
            <family val="2"/>
          </rPr>
          <t>Larry Piercy:</t>
        </r>
        <r>
          <rPr>
            <sz val="9"/>
            <color indexed="81"/>
            <rFont val="Tahoma"/>
            <family val="2"/>
          </rPr>
          <t xml:space="preserve">
CC fee included</t>
        </r>
      </text>
    </comment>
    <comment ref="Q100" authorId="1" shapeId="0" xr:uid="{CA8BF79D-4A89-476E-978A-DCDE1B69A4DC}">
      <text>
        <r>
          <rPr>
            <b/>
            <sz val="9"/>
            <color indexed="81"/>
            <rFont val="Tahoma"/>
            <family val="2"/>
          </rPr>
          <t>Larry Piercy:</t>
        </r>
        <r>
          <rPr>
            <sz val="9"/>
            <color indexed="81"/>
            <rFont val="Tahoma"/>
            <family val="2"/>
          </rPr>
          <t xml:space="preserve">
Wire 25
OOC 15</t>
        </r>
      </text>
    </comment>
    <comment ref="J104" authorId="0" shapeId="0" xr:uid="{E8C7DE19-1A81-4587-9E9D-C2927601D129}">
      <text>
        <r>
          <rPr>
            <b/>
            <sz val="9"/>
            <color indexed="81"/>
            <rFont val="Tahoma"/>
            <family val="2"/>
          </rPr>
          <t>Tim Sheffield:</t>
        </r>
        <r>
          <rPr>
            <sz val="9"/>
            <color indexed="81"/>
            <rFont val="Tahoma"/>
            <family val="2"/>
          </rPr>
          <t xml:space="preserve">
reciepts go to AParra@crawfordelectricsupply.com</t>
        </r>
      </text>
    </comment>
    <comment ref="O104" authorId="0" shapeId="0" xr:uid="{8DF3FFBE-43F7-49C1-ACBF-57010D4ED247}">
      <text>
        <r>
          <rPr>
            <b/>
            <sz val="9"/>
            <color indexed="81"/>
            <rFont val="Tahoma"/>
            <family val="2"/>
          </rPr>
          <t>Tim Sheffield:</t>
        </r>
        <r>
          <rPr>
            <sz val="9"/>
            <color indexed="81"/>
            <rFont val="Tahoma"/>
            <family val="2"/>
          </rPr>
          <t xml:space="preserve">
Includes 3% CC fee.</t>
        </r>
      </text>
    </comment>
    <comment ref="J108" authorId="0" shapeId="0" xr:uid="{F1C22BEA-9E61-4C36-BE87-E84D69D869D3}">
      <text>
        <r>
          <rPr>
            <b/>
            <sz val="9"/>
            <color indexed="81"/>
            <rFont val="Tahoma"/>
            <family val="2"/>
          </rPr>
          <t>Tim Sheffield:</t>
        </r>
        <r>
          <rPr>
            <sz val="9"/>
            <color indexed="81"/>
            <rFont val="Tahoma"/>
            <family val="2"/>
          </rPr>
          <t xml:space="preserve">
reciepts go to AParra@crawfordelectricsupply.com</t>
        </r>
      </text>
    </comment>
    <comment ref="O108" authorId="0" shapeId="0" xr:uid="{40D7EFE7-D9C4-4D00-A897-A3D69B85B8F3}">
      <text>
        <r>
          <rPr>
            <b/>
            <sz val="9"/>
            <color indexed="81"/>
            <rFont val="Tahoma"/>
            <family val="2"/>
          </rPr>
          <t>Tim Sheffield:</t>
        </r>
        <r>
          <rPr>
            <sz val="9"/>
            <color indexed="81"/>
            <rFont val="Tahoma"/>
            <family val="2"/>
          </rPr>
          <t xml:space="preserve">
Includes 3% CC fee.</t>
        </r>
      </text>
    </comment>
    <comment ref="O112" authorId="1" shapeId="0" xr:uid="{F8A823BA-DDE5-4CBC-BADD-1DC9927613C5}">
      <text>
        <r>
          <rPr>
            <b/>
            <sz val="9"/>
            <color indexed="81"/>
            <rFont val="Tahoma"/>
            <family val="2"/>
          </rPr>
          <t>Larry Piercy:</t>
        </r>
        <r>
          <rPr>
            <sz val="9"/>
            <color indexed="81"/>
            <rFont val="Tahoma"/>
            <family val="2"/>
          </rPr>
          <t xml:space="preserve">
P/N: 1002-120V or 1002-240V
Qty:  2-3
Price: $171.07 each
P/N: 1002-120V or 1002-240V
Qty:  5
Price: $167.18 each
P/N: 1002-120V or 1002-240V
Qty:  10
Price: $163.30 each
P/N: 1002-120V or 1002-240V
Qty:  25
Price: $157.93 each
</t>
        </r>
      </text>
    </comment>
    <comment ref="J115" authorId="0" shapeId="0" xr:uid="{B4F0C00F-BD37-420F-8867-80B21CA0C723}">
      <text>
        <r>
          <rPr>
            <b/>
            <sz val="9"/>
            <color indexed="81"/>
            <rFont val="Tahoma"/>
            <family val="2"/>
          </rPr>
          <t>Tim Sheffield:</t>
        </r>
        <r>
          <rPr>
            <sz val="9"/>
            <color indexed="81"/>
            <rFont val="Tahoma"/>
            <family val="2"/>
          </rPr>
          <t xml:space="preserve">
reciepts go to AParra@crawfordelectricsupply.com</t>
        </r>
      </text>
    </comment>
    <comment ref="O115" authorId="0" shapeId="0" xr:uid="{1252CB14-5AE5-4A09-8D65-A55045C2444E}">
      <text>
        <r>
          <rPr>
            <b/>
            <sz val="9"/>
            <color indexed="81"/>
            <rFont val="Tahoma"/>
            <family val="2"/>
          </rPr>
          <t>Tim Sheffield:</t>
        </r>
        <r>
          <rPr>
            <sz val="9"/>
            <color indexed="81"/>
            <rFont val="Tahoma"/>
            <family val="2"/>
          </rPr>
          <t xml:space="preserve">
Includes 3% CC fee.</t>
        </r>
      </text>
    </comment>
    <comment ref="J117" authorId="0" shapeId="0" xr:uid="{4CF4ADD3-6F5C-42DC-AFD1-22EFA20904E1}">
      <text>
        <r>
          <rPr>
            <b/>
            <sz val="9"/>
            <color indexed="81"/>
            <rFont val="Tahoma"/>
            <family val="2"/>
          </rPr>
          <t>Tim Sheffield:</t>
        </r>
        <r>
          <rPr>
            <sz val="9"/>
            <color indexed="81"/>
            <rFont val="Tahoma"/>
            <family val="2"/>
          </rPr>
          <t xml:space="preserve">
reciepts go to AParra@crawfordelectricsupply.com</t>
        </r>
      </text>
    </comment>
    <comment ref="O117" authorId="0" shapeId="0" xr:uid="{EC1BD6DF-D56F-4B6C-964C-8582D6AC3FC5}">
      <text>
        <r>
          <rPr>
            <b/>
            <sz val="9"/>
            <color indexed="81"/>
            <rFont val="Tahoma"/>
            <family val="2"/>
          </rPr>
          <t>Tim Sheffield:</t>
        </r>
        <r>
          <rPr>
            <sz val="9"/>
            <color indexed="81"/>
            <rFont val="Tahoma"/>
            <family val="2"/>
          </rPr>
          <t xml:space="preserve">
Includes 3% CC fee.</t>
        </r>
      </text>
    </comment>
    <comment ref="J118" authorId="0" shapeId="0" xr:uid="{581CCCEC-C878-4D95-B1E2-22E9FB643A40}">
      <text>
        <r>
          <rPr>
            <b/>
            <sz val="9"/>
            <color indexed="81"/>
            <rFont val="Tahoma"/>
            <family val="2"/>
          </rPr>
          <t>Tim Sheffield:</t>
        </r>
        <r>
          <rPr>
            <sz val="9"/>
            <color indexed="81"/>
            <rFont val="Tahoma"/>
            <family val="2"/>
          </rPr>
          <t xml:space="preserve">
reciepts go to AParra@crawfordelectricsupply.com</t>
        </r>
      </text>
    </comment>
    <comment ref="O118" authorId="0" shapeId="0" xr:uid="{44D793AD-8A99-4951-9EFD-EF961098A700}">
      <text>
        <r>
          <rPr>
            <b/>
            <sz val="9"/>
            <color indexed="81"/>
            <rFont val="Tahoma"/>
            <family val="2"/>
          </rPr>
          <t>Tim Sheffield:</t>
        </r>
        <r>
          <rPr>
            <sz val="9"/>
            <color indexed="81"/>
            <rFont val="Tahoma"/>
            <family val="2"/>
          </rPr>
          <t xml:space="preserve">
Includes 3% CC fee.</t>
        </r>
      </text>
    </comment>
    <comment ref="J119" authorId="0" shapeId="0" xr:uid="{262D394C-4269-4C1C-8AB9-57C09D24841D}">
      <text>
        <r>
          <rPr>
            <b/>
            <sz val="9"/>
            <color indexed="81"/>
            <rFont val="Tahoma"/>
            <family val="2"/>
          </rPr>
          <t>Tim Sheffield:</t>
        </r>
        <r>
          <rPr>
            <sz val="9"/>
            <color indexed="81"/>
            <rFont val="Tahoma"/>
            <family val="2"/>
          </rPr>
          <t xml:space="preserve">
reciepts go to AParra@crawfordelectricsupply.com</t>
        </r>
      </text>
    </comment>
    <comment ref="O119" authorId="0" shapeId="0" xr:uid="{8BCD8D83-3525-448D-B86B-ECDFC158128C}">
      <text>
        <r>
          <rPr>
            <b/>
            <sz val="9"/>
            <color indexed="81"/>
            <rFont val="Tahoma"/>
            <family val="2"/>
          </rPr>
          <t>Tim Sheffield:</t>
        </r>
        <r>
          <rPr>
            <sz val="9"/>
            <color indexed="81"/>
            <rFont val="Tahoma"/>
            <family val="2"/>
          </rPr>
          <t xml:space="preserve">
Includes 3% CC fee.</t>
        </r>
      </text>
    </comment>
    <comment ref="Q123" authorId="1" shapeId="0" xr:uid="{0B0D7FB9-4A73-4AD7-81FF-3E20D48D7BA5}">
      <text>
        <r>
          <rPr>
            <b/>
            <sz val="9"/>
            <color indexed="81"/>
            <rFont val="Tahoma"/>
            <family val="2"/>
          </rPr>
          <t>Larry Piercy:</t>
        </r>
        <r>
          <rPr>
            <sz val="9"/>
            <color indexed="81"/>
            <rFont val="Tahoma"/>
            <family val="2"/>
          </rPr>
          <t xml:space="preserve">
CC &amp; Out of country fees</t>
        </r>
      </text>
    </comment>
    <comment ref="J126" authorId="0" shapeId="0" xr:uid="{3A9E1F8B-1520-4943-BD09-ED3FB8052096}">
      <text>
        <r>
          <rPr>
            <b/>
            <sz val="9"/>
            <color indexed="81"/>
            <rFont val="Tahoma"/>
            <family val="2"/>
          </rPr>
          <t>Tim Sheffield:</t>
        </r>
        <r>
          <rPr>
            <sz val="9"/>
            <color indexed="81"/>
            <rFont val="Tahoma"/>
            <family val="2"/>
          </rPr>
          <t xml:space="preserve">
reciepts go to AParra@crawfordelectricsupply.com</t>
        </r>
      </text>
    </comment>
    <comment ref="O126" authorId="0" shapeId="0" xr:uid="{0860A8E7-6D9A-4A76-84F2-2926A2A09C44}">
      <text>
        <r>
          <rPr>
            <b/>
            <sz val="9"/>
            <color indexed="81"/>
            <rFont val="Tahoma"/>
            <family val="2"/>
          </rPr>
          <t>Tim Sheffield:</t>
        </r>
        <r>
          <rPr>
            <sz val="9"/>
            <color indexed="81"/>
            <rFont val="Tahoma"/>
            <family val="2"/>
          </rPr>
          <t xml:space="preserve">
Includes 3% CC fee.</t>
        </r>
      </text>
    </comment>
    <comment ref="F129" authorId="1" shapeId="0" xr:uid="{6BD7A2F9-FD77-4A5B-928A-14FE65D5DBAE}">
      <text>
        <r>
          <rPr>
            <b/>
            <sz val="9"/>
            <color indexed="81"/>
            <rFont val="Tahoma"/>
            <family val="2"/>
          </rPr>
          <t>Larry Piercy:</t>
        </r>
        <r>
          <rPr>
            <sz val="9"/>
            <color indexed="81"/>
            <rFont val="Tahoma"/>
            <family val="2"/>
          </rPr>
          <t xml:space="preserve">
Net 30 terms but pays with CC at 30 days so add 3% to item cost</t>
        </r>
      </text>
    </comment>
    <comment ref="Q129" authorId="1" shapeId="0" xr:uid="{133E6680-F9EA-4683-BA2E-B34EF239B64D}">
      <text>
        <r>
          <rPr>
            <b/>
            <sz val="9"/>
            <color indexed="81"/>
            <rFont val="Tahoma"/>
            <family val="2"/>
          </rPr>
          <t>Larry Piercy:</t>
        </r>
        <r>
          <rPr>
            <sz val="9"/>
            <color indexed="81"/>
            <rFont val="Tahoma"/>
            <family val="2"/>
          </rPr>
          <t xml:space="preserve">
Net 30 terms but pays with CC at 30 days so add 3% to item cost</t>
        </r>
      </text>
    </comment>
    <comment ref="O132" authorId="1" shapeId="0" xr:uid="{06B13876-CC12-4088-AE13-4ADDC67FA8B3}">
      <text>
        <r>
          <rPr>
            <b/>
            <sz val="9"/>
            <color indexed="81"/>
            <rFont val="Tahoma"/>
            <family val="2"/>
          </rPr>
          <t>Larry Piercy:</t>
        </r>
        <r>
          <rPr>
            <sz val="9"/>
            <color indexed="81"/>
            <rFont val="Tahoma"/>
            <family val="2"/>
          </rPr>
          <t xml:space="preserve">
10=163.30
50= 154.08</t>
        </r>
      </text>
    </comment>
    <comment ref="J138" authorId="0" shapeId="0" xr:uid="{6DCA461D-16B9-4148-AE0D-EFF89C50587A}">
      <text>
        <r>
          <rPr>
            <b/>
            <sz val="9"/>
            <color indexed="81"/>
            <rFont val="Tahoma"/>
            <family val="2"/>
          </rPr>
          <t>Tim Sheffield:</t>
        </r>
        <r>
          <rPr>
            <sz val="9"/>
            <color indexed="81"/>
            <rFont val="Tahoma"/>
            <family val="2"/>
          </rPr>
          <t xml:space="preserve">
reciepts go to AParra@crawfordelectricsupply.com</t>
        </r>
      </text>
    </comment>
    <comment ref="O138" authorId="0" shapeId="0" xr:uid="{45632B78-A5C6-438E-BED7-6ADF1069BB92}">
      <text>
        <r>
          <rPr>
            <b/>
            <sz val="9"/>
            <color indexed="81"/>
            <rFont val="Tahoma"/>
            <family val="2"/>
          </rPr>
          <t>Tim Sheffield:</t>
        </r>
        <r>
          <rPr>
            <sz val="9"/>
            <color indexed="81"/>
            <rFont val="Tahoma"/>
            <family val="2"/>
          </rPr>
          <t xml:space="preserve">
Includes 3% CC fee.</t>
        </r>
      </text>
    </comment>
    <comment ref="F140" authorId="1" shapeId="0" xr:uid="{9A62B26B-67E7-4EFF-B88E-6D319AA556DB}">
      <text>
        <r>
          <rPr>
            <b/>
            <sz val="9"/>
            <color indexed="81"/>
            <rFont val="Tahoma"/>
            <family val="2"/>
          </rPr>
          <t>Larry Piercy:</t>
        </r>
        <r>
          <rPr>
            <sz val="9"/>
            <color indexed="81"/>
            <rFont val="Tahoma"/>
            <family val="2"/>
          </rPr>
          <t xml:space="preserve">
Net 30 terms but pays with CC at 30 days so add 3% to item cost</t>
        </r>
      </text>
    </comment>
    <comment ref="Q140" authorId="1" shapeId="0" xr:uid="{8AEAA454-E595-4436-924F-137DD58D96C3}">
      <text>
        <r>
          <rPr>
            <b/>
            <sz val="9"/>
            <color indexed="81"/>
            <rFont val="Tahoma"/>
            <family val="2"/>
          </rPr>
          <t>Larry Piercy:</t>
        </r>
        <r>
          <rPr>
            <sz val="9"/>
            <color indexed="81"/>
            <rFont val="Tahoma"/>
            <family val="2"/>
          </rPr>
          <t xml:space="preserve">
Net 30 terms but pays with CC at 30 days so add 3% to item cost</t>
        </r>
      </text>
    </comment>
    <comment ref="F141" authorId="1" shapeId="0" xr:uid="{3F53977B-7391-496F-8B2F-44C0097B0306}">
      <text>
        <r>
          <rPr>
            <b/>
            <sz val="9"/>
            <color indexed="81"/>
            <rFont val="Tahoma"/>
            <family val="2"/>
          </rPr>
          <t>Larry Piercy:</t>
        </r>
        <r>
          <rPr>
            <sz val="9"/>
            <color indexed="81"/>
            <rFont val="Tahoma"/>
            <family val="2"/>
          </rPr>
          <t xml:space="preserve">
Net 30 terms but pays with CC at 30 days so add 3% to item cost</t>
        </r>
      </text>
    </comment>
    <comment ref="Q141" authorId="1" shapeId="0" xr:uid="{46A247E1-5E65-4EE0-A865-D5FEF73B5697}">
      <text>
        <r>
          <rPr>
            <b/>
            <sz val="9"/>
            <color indexed="81"/>
            <rFont val="Tahoma"/>
            <family val="2"/>
          </rPr>
          <t>Larry Piercy:</t>
        </r>
        <r>
          <rPr>
            <sz val="9"/>
            <color indexed="81"/>
            <rFont val="Tahoma"/>
            <family val="2"/>
          </rPr>
          <t xml:space="preserve">
Net 30 terms but pays with CC at 30 days so add 3% to item cost</t>
        </r>
      </text>
    </comment>
    <comment ref="J148" authorId="0" shapeId="0" xr:uid="{65B50E5D-334B-4D7B-B1BD-C9429F79CE74}">
      <text>
        <r>
          <rPr>
            <b/>
            <sz val="9"/>
            <color indexed="81"/>
            <rFont val="Tahoma"/>
            <family val="2"/>
          </rPr>
          <t>Tim Sheffield:</t>
        </r>
        <r>
          <rPr>
            <sz val="9"/>
            <color indexed="81"/>
            <rFont val="Tahoma"/>
            <family val="2"/>
          </rPr>
          <t xml:space="preserve">
reciepts go to AParra@crawfordelectricsupply.com</t>
        </r>
      </text>
    </comment>
    <comment ref="O148" authorId="0" shapeId="0" xr:uid="{5E156642-3FFA-453E-B798-E2CADD95E0D4}">
      <text>
        <r>
          <rPr>
            <b/>
            <sz val="9"/>
            <color indexed="81"/>
            <rFont val="Tahoma"/>
            <family val="2"/>
          </rPr>
          <t>Tim Sheffield:</t>
        </r>
        <r>
          <rPr>
            <sz val="9"/>
            <color indexed="81"/>
            <rFont val="Tahoma"/>
            <family val="2"/>
          </rPr>
          <t xml:space="preserve">
Includes 3% CC fee.</t>
        </r>
      </text>
    </comment>
    <comment ref="Q151" authorId="1" shapeId="0" xr:uid="{444F49B2-F312-46EA-BE43-2F115E9D2355}">
      <text>
        <r>
          <rPr>
            <b/>
            <sz val="9"/>
            <color indexed="81"/>
            <rFont val="Tahoma"/>
            <family val="2"/>
          </rPr>
          <t>Larry Piercy:</t>
        </r>
        <r>
          <rPr>
            <sz val="9"/>
            <color indexed="81"/>
            <rFont val="Tahoma"/>
            <family val="2"/>
          </rPr>
          <t xml:space="preserve">
Wire &amp; Out of Country</t>
        </r>
      </text>
    </comment>
    <comment ref="J152" authorId="0" shapeId="0" xr:uid="{12612B7B-78A0-4DA3-A458-7A72C48ED557}">
      <text>
        <r>
          <rPr>
            <b/>
            <sz val="9"/>
            <color indexed="81"/>
            <rFont val="Tahoma"/>
            <family val="2"/>
          </rPr>
          <t>Tim Sheffield:</t>
        </r>
        <r>
          <rPr>
            <sz val="9"/>
            <color indexed="81"/>
            <rFont val="Tahoma"/>
            <family val="2"/>
          </rPr>
          <t xml:space="preserve">
reciepts go to AParra@crawfordelectricsupply.com</t>
        </r>
      </text>
    </comment>
    <comment ref="O152" authorId="0" shapeId="0" xr:uid="{973781DB-5CF1-4979-915A-7F38F2E0CD86}">
      <text>
        <r>
          <rPr>
            <b/>
            <sz val="9"/>
            <color indexed="81"/>
            <rFont val="Tahoma"/>
            <family val="2"/>
          </rPr>
          <t>Tim Sheffield:</t>
        </r>
        <r>
          <rPr>
            <sz val="9"/>
            <color indexed="81"/>
            <rFont val="Tahoma"/>
            <family val="2"/>
          </rPr>
          <t xml:space="preserve">
Includes 3% CC fee.</t>
        </r>
      </text>
    </comment>
    <comment ref="J154" authorId="0" shapeId="0" xr:uid="{A8B1F2F7-025D-40AC-9AF7-3A06A21D617B}">
      <text>
        <r>
          <rPr>
            <b/>
            <sz val="9"/>
            <color indexed="81"/>
            <rFont val="Tahoma"/>
            <family val="2"/>
          </rPr>
          <t>Tim Sheffield:</t>
        </r>
        <r>
          <rPr>
            <sz val="9"/>
            <color indexed="81"/>
            <rFont val="Tahoma"/>
            <family val="2"/>
          </rPr>
          <t xml:space="preserve">
reciepts go to AParra@crawfordelectricsupply.com</t>
        </r>
      </text>
    </comment>
    <comment ref="O154" authorId="0" shapeId="0" xr:uid="{60501462-CAF4-4F06-9EDE-F88A90A2D8B5}">
      <text>
        <r>
          <rPr>
            <b/>
            <sz val="9"/>
            <color indexed="81"/>
            <rFont val="Tahoma"/>
            <family val="2"/>
          </rPr>
          <t>Tim Sheffield:</t>
        </r>
        <r>
          <rPr>
            <sz val="9"/>
            <color indexed="81"/>
            <rFont val="Tahoma"/>
            <family val="2"/>
          </rPr>
          <t xml:space="preserve">
Includes 3% CC fee.</t>
        </r>
      </text>
    </comment>
    <comment ref="J155" authorId="0" shapeId="0" xr:uid="{FFA6805B-975C-481A-9996-367B1C849ABE}">
      <text>
        <r>
          <rPr>
            <b/>
            <sz val="9"/>
            <color indexed="81"/>
            <rFont val="Tahoma"/>
            <family val="2"/>
          </rPr>
          <t>Tim Sheffield:</t>
        </r>
        <r>
          <rPr>
            <sz val="9"/>
            <color indexed="81"/>
            <rFont val="Tahoma"/>
            <family val="2"/>
          </rPr>
          <t xml:space="preserve">
reciepts go to AParra@crawfordelectricsupply.com</t>
        </r>
      </text>
    </comment>
    <comment ref="O155" authorId="0" shapeId="0" xr:uid="{4A7FA31B-E849-4ED7-AFCB-2534A422A01F}">
      <text>
        <r>
          <rPr>
            <b/>
            <sz val="9"/>
            <color indexed="81"/>
            <rFont val="Tahoma"/>
            <family val="2"/>
          </rPr>
          <t>Tim Sheffield:</t>
        </r>
        <r>
          <rPr>
            <sz val="9"/>
            <color indexed="81"/>
            <rFont val="Tahoma"/>
            <family val="2"/>
          </rPr>
          <t xml:space="preserve">
Includes 3% CC fee.</t>
        </r>
      </text>
    </comment>
    <comment ref="J156" authorId="0" shapeId="0" xr:uid="{962F9121-7316-4D1D-8FAE-D7B8475AF972}">
      <text>
        <r>
          <rPr>
            <b/>
            <sz val="9"/>
            <color indexed="81"/>
            <rFont val="Tahoma"/>
            <family val="2"/>
          </rPr>
          <t>Tim Sheffield:</t>
        </r>
        <r>
          <rPr>
            <sz val="9"/>
            <color indexed="81"/>
            <rFont val="Tahoma"/>
            <family val="2"/>
          </rPr>
          <t xml:space="preserve">
reciepts go to AParra@crawfordelectricsupply.com</t>
        </r>
      </text>
    </comment>
    <comment ref="O156" authorId="0" shapeId="0" xr:uid="{AA5105C6-421D-4C04-BA23-4B74C8C17F78}">
      <text>
        <r>
          <rPr>
            <b/>
            <sz val="9"/>
            <color indexed="81"/>
            <rFont val="Tahoma"/>
            <family val="2"/>
          </rPr>
          <t>Tim Sheffield:</t>
        </r>
        <r>
          <rPr>
            <sz val="9"/>
            <color indexed="81"/>
            <rFont val="Tahoma"/>
            <family val="2"/>
          </rPr>
          <t xml:space="preserve">
Includes 3% CC fee.</t>
        </r>
      </text>
    </comment>
    <comment ref="D160" authorId="1" shapeId="0" xr:uid="{275D678A-A11D-457A-86C6-A1B484A8D19E}">
      <text>
        <r>
          <rPr>
            <b/>
            <sz val="9"/>
            <color indexed="81"/>
            <rFont val="Tahoma"/>
            <family val="2"/>
          </rPr>
          <t>Larry Piercy:</t>
        </r>
        <r>
          <rPr>
            <sz val="9"/>
            <color indexed="81"/>
            <rFont val="Tahoma"/>
            <family val="2"/>
          </rPr>
          <t xml:space="preserve">
&amp; Randy Dupuis </t>
        </r>
      </text>
    </comment>
    <comment ref="D161" authorId="1" shapeId="0" xr:uid="{5EE1D2C5-1FCD-42DB-A05F-B53896ADD29A}">
      <text>
        <r>
          <rPr>
            <b/>
            <sz val="9"/>
            <color indexed="81"/>
            <rFont val="Tahoma"/>
            <family val="2"/>
          </rPr>
          <t>Larry Piercy:</t>
        </r>
        <r>
          <rPr>
            <sz val="9"/>
            <color indexed="81"/>
            <rFont val="Tahoma"/>
            <family val="2"/>
          </rPr>
          <t xml:space="preserve">
&amp; Randy Dupuis </t>
        </r>
      </text>
    </comment>
    <comment ref="J162" authorId="0" shapeId="0" xr:uid="{1A2EE549-AD39-48E6-B4E8-381315AF7AB9}">
      <text>
        <r>
          <rPr>
            <b/>
            <sz val="9"/>
            <color indexed="81"/>
            <rFont val="Tahoma"/>
            <family val="2"/>
          </rPr>
          <t>Tim Sheffield:</t>
        </r>
        <r>
          <rPr>
            <sz val="9"/>
            <color indexed="81"/>
            <rFont val="Tahoma"/>
            <family val="2"/>
          </rPr>
          <t xml:space="preserve">
reciepts go to AParra@crawfordelectricsupply.com</t>
        </r>
      </text>
    </comment>
    <comment ref="O162" authorId="0" shapeId="0" xr:uid="{5D4C59E4-B4FE-405B-99E3-FDB1873E252B}">
      <text>
        <r>
          <rPr>
            <b/>
            <sz val="9"/>
            <color indexed="81"/>
            <rFont val="Tahoma"/>
            <family val="2"/>
          </rPr>
          <t>Tim Sheffield:</t>
        </r>
        <r>
          <rPr>
            <sz val="9"/>
            <color indexed="81"/>
            <rFont val="Tahoma"/>
            <family val="2"/>
          </rPr>
          <t xml:space="preserve">
Includes 3% CC fee.</t>
        </r>
      </text>
    </comment>
    <comment ref="C163" authorId="1" shapeId="0" xr:uid="{3FEE691A-9D3D-4676-B35C-4D7C3DC90BB2}">
      <text>
        <r>
          <rPr>
            <b/>
            <sz val="9"/>
            <color indexed="81"/>
            <rFont val="Tahoma"/>
            <family val="2"/>
          </rPr>
          <t>Larry Piercy:</t>
        </r>
        <r>
          <rPr>
            <sz val="9"/>
            <color indexed="81"/>
            <rFont val="Tahoma"/>
            <family val="2"/>
          </rPr>
          <t xml:space="preserve">
Now must use online protal.</t>
        </r>
      </text>
    </comment>
    <comment ref="Q163" authorId="1" shapeId="0" xr:uid="{82DBD9DC-7BD9-4E5B-A1C6-742E0777B002}">
      <text>
        <r>
          <rPr>
            <b/>
            <sz val="9"/>
            <color indexed="81"/>
            <rFont val="Tahoma"/>
            <family val="2"/>
          </rPr>
          <t>Larry Piercy:</t>
        </r>
        <r>
          <rPr>
            <sz val="9"/>
            <color indexed="81"/>
            <rFont val="Tahoma"/>
            <family val="2"/>
          </rPr>
          <t xml:space="preserve">
Wire 25
OOC 15</t>
        </r>
      </text>
    </comment>
    <comment ref="Q168" authorId="1" shapeId="0" xr:uid="{6C0926C1-9DCC-45A8-8736-9AB22D071D32}">
      <text>
        <r>
          <rPr>
            <b/>
            <sz val="9"/>
            <color indexed="81"/>
            <rFont val="Tahoma"/>
            <family val="2"/>
          </rPr>
          <t>Larry Piercy:</t>
        </r>
        <r>
          <rPr>
            <sz val="9"/>
            <color indexed="81"/>
            <rFont val="Tahoma"/>
            <family val="2"/>
          </rPr>
          <t xml:space="preserve">
24hr + CC fee</t>
        </r>
      </text>
    </comment>
    <comment ref="J172" authorId="0" shapeId="0" xr:uid="{BED21EBC-80FC-4537-BFE0-76E6C342E093}">
      <text>
        <r>
          <rPr>
            <b/>
            <sz val="9"/>
            <color indexed="81"/>
            <rFont val="Tahoma"/>
            <family val="2"/>
          </rPr>
          <t>Tim Sheffield:</t>
        </r>
        <r>
          <rPr>
            <sz val="9"/>
            <color indexed="81"/>
            <rFont val="Tahoma"/>
            <family val="2"/>
          </rPr>
          <t xml:space="preserve">
reciepts go to AParra@crawfordelectricsupply.com</t>
        </r>
      </text>
    </comment>
    <comment ref="O172" authorId="0" shapeId="0" xr:uid="{944B3D8D-0130-48AE-B84C-B82A6368D63F}">
      <text>
        <r>
          <rPr>
            <b/>
            <sz val="9"/>
            <color indexed="81"/>
            <rFont val="Tahoma"/>
            <family val="2"/>
          </rPr>
          <t>Tim Sheffield:</t>
        </r>
        <r>
          <rPr>
            <sz val="9"/>
            <color indexed="81"/>
            <rFont val="Tahoma"/>
            <family val="2"/>
          </rPr>
          <t xml:space="preserve">
Includes 3% CC fee.</t>
        </r>
      </text>
    </comment>
    <comment ref="J173" authorId="0" shapeId="0" xr:uid="{50970AEF-7C27-4AE2-A1D5-1DBBFA6ADBB1}">
      <text>
        <r>
          <rPr>
            <b/>
            <sz val="9"/>
            <color indexed="81"/>
            <rFont val="Tahoma"/>
            <family val="2"/>
          </rPr>
          <t>Tim Sheffield:</t>
        </r>
        <r>
          <rPr>
            <sz val="9"/>
            <color indexed="81"/>
            <rFont val="Tahoma"/>
            <family val="2"/>
          </rPr>
          <t xml:space="preserve">
reciepts go to AParra@crawfordelectricsupply.com</t>
        </r>
      </text>
    </comment>
    <comment ref="O173" authorId="0" shapeId="0" xr:uid="{A077141C-2515-49AE-A4DB-8F0023238B4A}">
      <text>
        <r>
          <rPr>
            <b/>
            <sz val="9"/>
            <color indexed="81"/>
            <rFont val="Tahoma"/>
            <family val="2"/>
          </rPr>
          <t>Tim Sheffield:</t>
        </r>
        <r>
          <rPr>
            <sz val="9"/>
            <color indexed="81"/>
            <rFont val="Tahoma"/>
            <family val="2"/>
          </rPr>
          <t xml:space="preserve">
Includes 3% CC fee.</t>
        </r>
      </text>
    </comment>
    <comment ref="Q174" authorId="1" shapeId="0" xr:uid="{5449E7D5-CC6B-4ECF-A896-7569E8618A7A}">
      <text>
        <r>
          <rPr>
            <b/>
            <sz val="9"/>
            <color indexed="81"/>
            <rFont val="Tahoma"/>
            <family val="2"/>
          </rPr>
          <t>Larry Piercy:</t>
        </r>
        <r>
          <rPr>
            <sz val="9"/>
            <color indexed="81"/>
            <rFont val="Tahoma"/>
            <family val="2"/>
          </rPr>
          <t xml:space="preserve">
P/N: 1000-120V
Qty: 5
Price: $180.56 each x5 = 902.80
24hr shipping (50%)= 451.40
Subtotal = 1354.20
Credit card fee(3%) = 40.63
Total = 1394.83
</t>
        </r>
      </text>
    </comment>
    <comment ref="O175" authorId="1" shapeId="0" xr:uid="{FB1072F7-246B-460E-BFFD-FA959DC69353}">
      <text>
        <r>
          <rPr>
            <b/>
            <sz val="9"/>
            <color indexed="81"/>
            <rFont val="Tahoma"/>
            <family val="2"/>
          </rPr>
          <t>Larry Piercy:</t>
        </r>
        <r>
          <rPr>
            <sz val="9"/>
            <color indexed="81"/>
            <rFont val="Tahoma"/>
            <family val="2"/>
          </rPr>
          <t xml:space="preserve">
P/N: 1000-120V  Qty: 1  Price: $184.76 each
P/N: 1001-120V  Qty: 2  Price: $184.76 each
P/N: 1002-120V  Qty: 24  Price: $176.36 each
P/N: 1002-120V -CE Qty: 24  Price: $195.96 each
P/N: 1003-120V  Qty: 4  Price: $205.29 each
</t>
        </r>
      </text>
    </comment>
    <comment ref="J179" authorId="0" shapeId="0" xr:uid="{7C0F7315-F828-47F2-B5A4-563F9892969F}">
      <text>
        <r>
          <rPr>
            <b/>
            <sz val="9"/>
            <color indexed="81"/>
            <rFont val="Tahoma"/>
            <family val="2"/>
          </rPr>
          <t>Tim Sheffield:</t>
        </r>
        <r>
          <rPr>
            <sz val="9"/>
            <color indexed="81"/>
            <rFont val="Tahoma"/>
            <family val="2"/>
          </rPr>
          <t xml:space="preserve">
reciepts go to AParra@crawfordelectricsupply.com</t>
        </r>
      </text>
    </comment>
    <comment ref="O179" authorId="0" shapeId="0" xr:uid="{19A27474-AA07-428C-B026-415F7C908774}">
      <text>
        <r>
          <rPr>
            <b/>
            <sz val="9"/>
            <color indexed="81"/>
            <rFont val="Tahoma"/>
            <family val="2"/>
          </rPr>
          <t>Tim Sheffield:</t>
        </r>
        <r>
          <rPr>
            <sz val="9"/>
            <color indexed="81"/>
            <rFont val="Tahoma"/>
            <family val="2"/>
          </rPr>
          <t xml:space="preserve">
Includes 3% CC fee.</t>
        </r>
      </text>
    </comment>
    <comment ref="J181" authorId="0" shapeId="0" xr:uid="{BE288BA4-D472-4199-BBFD-1D2EE5BDF132}">
      <text>
        <r>
          <rPr>
            <b/>
            <sz val="9"/>
            <color indexed="81"/>
            <rFont val="Tahoma"/>
            <family val="2"/>
          </rPr>
          <t>Tim Sheffield:</t>
        </r>
        <r>
          <rPr>
            <sz val="9"/>
            <color indexed="81"/>
            <rFont val="Tahoma"/>
            <family val="2"/>
          </rPr>
          <t xml:space="preserve">
reciepts go to AParra@crawfordelectricsupply.com</t>
        </r>
      </text>
    </comment>
    <comment ref="O181" authorId="0" shapeId="0" xr:uid="{191E25F2-D015-4CB2-BFEE-2BF7B613BE42}">
      <text>
        <r>
          <rPr>
            <b/>
            <sz val="9"/>
            <color indexed="81"/>
            <rFont val="Tahoma"/>
            <family val="2"/>
          </rPr>
          <t>Tim Sheffield:</t>
        </r>
        <r>
          <rPr>
            <sz val="9"/>
            <color indexed="81"/>
            <rFont val="Tahoma"/>
            <family val="2"/>
          </rPr>
          <t xml:space="preserve">
Includes 3% CC fee.</t>
        </r>
      </text>
    </comment>
    <comment ref="O182" authorId="1" shapeId="0" xr:uid="{6F107507-5AB8-48F9-B72F-56108B66B373}">
      <text>
        <r>
          <rPr>
            <b/>
            <sz val="9"/>
            <color indexed="81"/>
            <rFont val="Tahoma"/>
            <family val="2"/>
          </rPr>
          <t>Larry Piercy:</t>
        </r>
        <r>
          <rPr>
            <sz val="9"/>
            <color indexed="81"/>
            <rFont val="Tahoma"/>
            <family val="2"/>
          </rPr>
          <t xml:space="preserve">
</t>
        </r>
        <r>
          <rPr>
            <sz val="8"/>
            <color indexed="81"/>
            <rFont val="Tahoma"/>
            <family val="2"/>
          </rPr>
          <t>P/N: 1000-120V  Qty:  30Price:  $168.99 each
P/N: 1001-120V  Qty:  30Price:  $168.99 each
P/N: 1002-120V  Qty:  30Price:  $168.99 each
P/N: 1003-120V  Qty:  30Price:  $187.76 each
Lead Time: 4 weeks to ship ARO</t>
        </r>
        <r>
          <rPr>
            <sz val="9"/>
            <color indexed="81"/>
            <rFont val="Tahoma"/>
            <family val="2"/>
          </rPr>
          <t xml:space="preserve">
</t>
        </r>
      </text>
    </comment>
    <comment ref="D183" authorId="1" shapeId="0" xr:uid="{84ECB7C9-BE5C-4E77-B97D-4813B9DCA220}">
      <text>
        <r>
          <rPr>
            <b/>
            <sz val="9"/>
            <color indexed="81"/>
            <rFont val="Tahoma"/>
            <family val="2"/>
          </rPr>
          <t>Larry Piercy:</t>
        </r>
        <r>
          <rPr>
            <sz val="9"/>
            <color indexed="81"/>
            <rFont val="Tahoma"/>
            <family val="2"/>
          </rPr>
          <t xml:space="preserve">
&amp; Randy Dupuis </t>
        </r>
      </text>
    </comment>
    <comment ref="O184" authorId="1" shapeId="0" xr:uid="{87E61336-7CE5-455A-8511-DD0F7ED57F28}">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J185" authorId="0" shapeId="0" xr:uid="{94A4F3E3-87EA-471D-B64A-6AF118C5C181}">
      <text>
        <r>
          <rPr>
            <b/>
            <sz val="9"/>
            <color indexed="81"/>
            <rFont val="Tahoma"/>
            <family val="2"/>
          </rPr>
          <t>Tim Sheffield:</t>
        </r>
        <r>
          <rPr>
            <sz val="9"/>
            <color indexed="81"/>
            <rFont val="Tahoma"/>
            <family val="2"/>
          </rPr>
          <t xml:space="preserve">
reciepts go to AParra@crawfordelectricsupply.com</t>
        </r>
      </text>
    </comment>
    <comment ref="O185" authorId="0" shapeId="0" xr:uid="{185B94D0-745B-48A4-916C-564FEF3BB1D3}">
      <text>
        <r>
          <rPr>
            <b/>
            <sz val="9"/>
            <color indexed="81"/>
            <rFont val="Tahoma"/>
            <family val="2"/>
          </rPr>
          <t>Tim Sheffield:</t>
        </r>
        <r>
          <rPr>
            <sz val="9"/>
            <color indexed="81"/>
            <rFont val="Tahoma"/>
            <family val="2"/>
          </rPr>
          <t xml:space="preserve">
Includes 3% CC fee.</t>
        </r>
      </text>
    </comment>
    <comment ref="C188" authorId="1" shapeId="0" xr:uid="{D5AA188A-2E71-45A6-B312-31982BF23A75}">
      <text>
        <r>
          <rPr>
            <b/>
            <sz val="9"/>
            <color indexed="81"/>
            <rFont val="Tahoma"/>
            <family val="2"/>
          </rPr>
          <t>Larry Piercy:</t>
        </r>
        <r>
          <rPr>
            <sz val="9"/>
            <color indexed="81"/>
            <rFont val="Tahoma"/>
            <family val="2"/>
          </rPr>
          <t xml:space="preserve">
First request 07/06/23 @ 9:01PM.  </t>
        </r>
      </text>
    </comment>
    <comment ref="D189" authorId="1" shapeId="0" xr:uid="{D348A5F4-3BFC-45C9-9FEF-6E621FD25C94}">
      <text>
        <r>
          <rPr>
            <b/>
            <sz val="9"/>
            <color indexed="81"/>
            <rFont val="Tahoma"/>
            <family val="2"/>
          </rPr>
          <t>Larry Piercy:</t>
        </r>
        <r>
          <rPr>
            <sz val="9"/>
            <color indexed="81"/>
            <rFont val="Tahoma"/>
            <family val="2"/>
          </rPr>
          <t xml:space="preserve">
&amp; Randy Dupuis </t>
        </r>
      </text>
    </comment>
    <comment ref="D191" authorId="1" shapeId="0" xr:uid="{7093EA93-3744-4D9C-A472-488252AFCE35}">
      <text>
        <r>
          <rPr>
            <b/>
            <sz val="9"/>
            <color indexed="81"/>
            <rFont val="Tahoma"/>
            <family val="2"/>
          </rPr>
          <t>Larry Piercy:</t>
        </r>
        <r>
          <rPr>
            <sz val="9"/>
            <color indexed="81"/>
            <rFont val="Tahoma"/>
            <family val="2"/>
          </rPr>
          <t xml:space="preserve">
&amp; Randy Dupuis </t>
        </r>
      </text>
    </comment>
    <comment ref="J195" authorId="0" shapeId="0" xr:uid="{5499EB84-E1E5-4D98-88D9-2D432FA2A42E}">
      <text>
        <r>
          <rPr>
            <b/>
            <sz val="9"/>
            <color indexed="81"/>
            <rFont val="Tahoma"/>
            <family val="2"/>
          </rPr>
          <t>Tim Sheffield:</t>
        </r>
        <r>
          <rPr>
            <sz val="9"/>
            <color indexed="81"/>
            <rFont val="Tahoma"/>
            <family val="2"/>
          </rPr>
          <t xml:space="preserve">
reciepts go to AParra@crawfordelectricsupply.com</t>
        </r>
      </text>
    </comment>
    <comment ref="O195" authorId="0" shapeId="0" xr:uid="{885B7AB9-2E60-4002-B69B-DDA7D49ACC7E}">
      <text>
        <r>
          <rPr>
            <b/>
            <sz val="9"/>
            <color indexed="81"/>
            <rFont val="Tahoma"/>
            <family val="2"/>
          </rPr>
          <t>Tim Sheffield:</t>
        </r>
        <r>
          <rPr>
            <sz val="9"/>
            <color indexed="81"/>
            <rFont val="Tahoma"/>
            <family val="2"/>
          </rPr>
          <t xml:space="preserve">
Includes 3% CC fee.</t>
        </r>
      </text>
    </comment>
    <comment ref="M203" authorId="1" shapeId="0" xr:uid="{2A731205-2D2C-423E-9F7A-342889374590}">
      <text>
        <r>
          <rPr>
            <b/>
            <sz val="9"/>
            <color indexed="81"/>
            <rFont val="Tahoma"/>
            <family val="2"/>
          </rPr>
          <t>Larry Piercy:</t>
        </r>
        <r>
          <rPr>
            <sz val="9"/>
            <color indexed="81"/>
            <rFont val="Tahoma"/>
            <family val="2"/>
          </rPr>
          <t xml:space="preserve">
Qty 1 2-4 5-9 10-24 25-49 50-100
PQSI VNC 120Vac Input $163.30  $139.38  $134.02  $125.97  $116.78  $109.91 
PQSI VNC 24Vac  Input $163.30  $139.38  $134.02  $125.97  $116.78  $109.91 
</t>
        </r>
      </text>
    </comment>
    <comment ref="O207" authorId="1" shapeId="0" xr:uid="{686C017E-91B3-45CD-A19F-9336AB1624DA}">
      <text>
        <r>
          <rPr>
            <b/>
            <sz val="9"/>
            <color indexed="81"/>
            <rFont val="Tahoma"/>
            <family val="2"/>
          </rPr>
          <t>Larry Piercy:</t>
        </r>
        <r>
          <rPr>
            <sz val="9"/>
            <color indexed="81"/>
            <rFont val="Tahoma"/>
            <family val="2"/>
          </rPr>
          <t xml:space="preserve">
qty 2 = 184.76</t>
        </r>
      </text>
    </comment>
    <comment ref="J209" authorId="0" shapeId="0" xr:uid="{35225D2D-62A1-42D9-9710-FF791A4E3B8C}">
      <text>
        <r>
          <rPr>
            <b/>
            <sz val="9"/>
            <color indexed="81"/>
            <rFont val="Tahoma"/>
            <family val="2"/>
          </rPr>
          <t>Tim Sheffield:</t>
        </r>
        <r>
          <rPr>
            <sz val="9"/>
            <color indexed="81"/>
            <rFont val="Tahoma"/>
            <family val="2"/>
          </rPr>
          <t xml:space="preserve">
reciepts go to AParra@crawfordelectricsupply.com</t>
        </r>
      </text>
    </comment>
    <comment ref="O209" authorId="0" shapeId="0" xr:uid="{562E796B-F70C-4D8C-ADD0-369A8D5CAD2F}">
      <text>
        <r>
          <rPr>
            <b/>
            <sz val="9"/>
            <color indexed="81"/>
            <rFont val="Tahoma"/>
            <family val="2"/>
          </rPr>
          <t>Tim Sheffield:</t>
        </r>
        <r>
          <rPr>
            <sz val="9"/>
            <color indexed="81"/>
            <rFont val="Tahoma"/>
            <family val="2"/>
          </rPr>
          <t xml:space="preserve">
Includes 3% CC fee.</t>
        </r>
      </text>
    </comment>
    <comment ref="D212" authorId="1" shapeId="0" xr:uid="{C2ECAEBD-BAAB-4119-9F41-AE6A38E66A39}">
      <text>
        <r>
          <rPr>
            <b/>
            <sz val="9"/>
            <color indexed="81"/>
            <rFont val="Tahoma"/>
            <family val="2"/>
          </rPr>
          <t>Larry Piercy:</t>
        </r>
        <r>
          <rPr>
            <sz val="9"/>
            <color indexed="81"/>
            <rFont val="Tahoma"/>
            <family val="2"/>
          </rPr>
          <t xml:space="preserve">
&amp; Randy Dupuis </t>
        </r>
      </text>
    </comment>
    <comment ref="D213" authorId="1" shapeId="0" xr:uid="{BFA5E8BC-DE70-4864-858D-49BC6D0DE864}">
      <text>
        <r>
          <rPr>
            <b/>
            <sz val="9"/>
            <color indexed="81"/>
            <rFont val="Tahoma"/>
            <family val="2"/>
          </rPr>
          <t>Larry Piercy:</t>
        </r>
        <r>
          <rPr>
            <sz val="9"/>
            <color indexed="81"/>
            <rFont val="Tahoma"/>
            <family val="2"/>
          </rPr>
          <t xml:space="preserve">
&amp; Randy Dupuis </t>
        </r>
      </text>
    </comment>
    <comment ref="Q214" authorId="1" shapeId="0" xr:uid="{13B87F40-4435-4B05-96A8-37659127BBBC}">
      <text>
        <r>
          <rPr>
            <b/>
            <sz val="9"/>
            <color indexed="81"/>
            <rFont val="Tahoma"/>
            <family val="2"/>
          </rPr>
          <t>Larry Piercy:</t>
        </r>
        <r>
          <rPr>
            <sz val="9"/>
            <color indexed="81"/>
            <rFont val="Tahoma"/>
            <family val="2"/>
          </rPr>
          <t xml:space="preserve">
24 hr exp</t>
        </r>
      </text>
    </comment>
    <comment ref="Q215" authorId="1" shapeId="0" xr:uid="{07590E72-6296-46B6-9297-66FE246E677E}">
      <text>
        <r>
          <rPr>
            <b/>
            <sz val="9"/>
            <color indexed="81"/>
            <rFont val="Tahoma"/>
            <family val="2"/>
          </rPr>
          <t>Larry Piercy:</t>
        </r>
        <r>
          <rPr>
            <sz val="9"/>
            <color indexed="81"/>
            <rFont val="Tahoma"/>
            <family val="2"/>
          </rPr>
          <t xml:space="preserve">
cc and shipping</t>
        </r>
      </text>
    </comment>
    <comment ref="J218" authorId="0" shapeId="0" xr:uid="{9FCA1716-084F-47E3-8701-21AC76D27142}">
      <text>
        <r>
          <rPr>
            <b/>
            <sz val="9"/>
            <color indexed="81"/>
            <rFont val="Tahoma"/>
            <family val="2"/>
          </rPr>
          <t>Tim Sheffield:</t>
        </r>
        <r>
          <rPr>
            <sz val="9"/>
            <color indexed="81"/>
            <rFont val="Tahoma"/>
            <family val="2"/>
          </rPr>
          <t xml:space="preserve">
reciepts go to AParra@crawfordelectricsupply.com</t>
        </r>
      </text>
    </comment>
    <comment ref="O218" authorId="0" shapeId="0" xr:uid="{FAB5C173-51C4-4A13-984A-E005C7935124}">
      <text>
        <r>
          <rPr>
            <b/>
            <sz val="9"/>
            <color indexed="81"/>
            <rFont val="Tahoma"/>
            <family val="2"/>
          </rPr>
          <t>Tim Sheffield:</t>
        </r>
        <r>
          <rPr>
            <sz val="9"/>
            <color indexed="81"/>
            <rFont val="Tahoma"/>
            <family val="2"/>
          </rPr>
          <t xml:space="preserve">
Includes 3% CC fee.</t>
        </r>
      </text>
    </comment>
    <comment ref="D222" authorId="1" shapeId="0" xr:uid="{E81B6382-9B68-43CD-9096-E36681152ACE}">
      <text>
        <r>
          <rPr>
            <b/>
            <sz val="9"/>
            <color indexed="81"/>
            <rFont val="Tahoma"/>
            <family val="2"/>
          </rPr>
          <t>Larry Piercy:</t>
        </r>
        <r>
          <rPr>
            <sz val="9"/>
            <color indexed="81"/>
            <rFont val="Tahoma"/>
            <family val="2"/>
          </rPr>
          <t xml:space="preserve">
&amp; Randy Dupuis </t>
        </r>
      </text>
    </comment>
    <comment ref="D224" authorId="1" shapeId="0" xr:uid="{0406AEA7-6286-4C06-BB11-2386312F03E0}">
      <text>
        <r>
          <rPr>
            <b/>
            <sz val="9"/>
            <color indexed="81"/>
            <rFont val="Tahoma"/>
            <family val="2"/>
          </rPr>
          <t>Larry Piercy:</t>
        </r>
        <r>
          <rPr>
            <sz val="9"/>
            <color indexed="81"/>
            <rFont val="Tahoma"/>
            <family val="2"/>
          </rPr>
          <t xml:space="preserve">
&amp; Randy Dupuis </t>
        </r>
      </text>
    </comment>
    <comment ref="O227" authorId="1" shapeId="0" xr:uid="{445E886E-3E85-4D2C-8C25-4457BF6F9440}">
      <text>
        <r>
          <rPr>
            <b/>
            <sz val="9"/>
            <color indexed="81"/>
            <rFont val="Tahoma"/>
            <family val="2"/>
          </rPr>
          <t>Larry Piercy:</t>
        </r>
        <r>
          <rPr>
            <sz val="9"/>
            <color indexed="81"/>
            <rFont val="Tahoma"/>
            <family val="2"/>
          </rPr>
          <t xml:space="preserve">
1=300
2-4=184.76</t>
        </r>
      </text>
    </comment>
    <comment ref="O228" authorId="1" shapeId="0" xr:uid="{70C1963C-9894-4D62-B226-E34368BDAEE5}">
      <text>
        <r>
          <rPr>
            <b/>
            <sz val="9"/>
            <color indexed="81"/>
            <rFont val="Tahoma"/>
            <family val="2"/>
          </rPr>
          <t>Larry Piercy:</t>
        </r>
        <r>
          <rPr>
            <sz val="9"/>
            <color indexed="81"/>
            <rFont val="Tahoma"/>
            <family val="2"/>
          </rPr>
          <t xml:space="preserve">
1=300
2-4=184.76</t>
        </r>
      </text>
    </comment>
    <comment ref="N235" authorId="1" shapeId="0" xr:uid="{40694BA6-6471-4BB9-9EEB-CD862524D129}">
      <text>
        <r>
          <rPr>
            <b/>
            <sz val="9"/>
            <color indexed="81"/>
            <rFont val="Tahoma"/>
            <family val="2"/>
          </rPr>
          <t>Larry Piercy:</t>
        </r>
        <r>
          <rPr>
            <sz val="9"/>
            <color indexed="81"/>
            <rFont val="Tahoma"/>
            <family val="2"/>
          </rPr>
          <t xml:space="preserve">
Multiple items 
PN: 1000-120V
COIL LOCKS
QTY:1  233.28ea.
PN: 1001-120V
COIL LOCKS
QTY:2  184.76ea.
PN: 1002-120V
COIL LOCKS
QTY:24  176.36ea.
PN: 1003-120V
COIL LOCKS
QTY: 4  205.29ea.
</t>
        </r>
      </text>
    </comment>
    <comment ref="O236" authorId="1" shapeId="0" xr:uid="{5D83BCF0-AFC3-4B13-AB1A-72D5C90F1DC1}">
      <text>
        <r>
          <rPr>
            <b/>
            <sz val="9"/>
            <color indexed="81"/>
            <rFont val="Tahoma"/>
            <family val="2"/>
          </rPr>
          <t>Larry Piercy:</t>
        </r>
        <r>
          <rPr>
            <sz val="9"/>
            <color indexed="81"/>
            <rFont val="Tahoma"/>
            <family val="2"/>
          </rPr>
          <t xml:space="preserve">
30=168.99
60=164.87</t>
        </r>
      </text>
    </comment>
    <comment ref="Q239" authorId="1" shapeId="0" xr:uid="{35C90A7F-74EE-468D-AEFB-496EDCCFF91E}">
      <text>
        <r>
          <rPr>
            <b/>
            <sz val="9"/>
            <color indexed="81"/>
            <rFont val="Tahoma"/>
            <family val="2"/>
          </rPr>
          <t>Larry Piercy:</t>
        </r>
        <r>
          <rPr>
            <sz val="9"/>
            <color indexed="81"/>
            <rFont val="Tahoma"/>
            <family val="2"/>
          </rPr>
          <t xml:space="preserve">
1 week shipping</t>
        </r>
      </text>
    </comment>
    <comment ref="N248" authorId="1" shapeId="0" xr:uid="{35863ACB-6090-4D76-96FF-CDD54D09621D}">
      <text>
        <r>
          <rPr>
            <b/>
            <sz val="9"/>
            <color indexed="81"/>
            <rFont val="Tahoma"/>
            <family val="2"/>
          </rPr>
          <t>Larry Piercy:</t>
        </r>
        <r>
          <rPr>
            <sz val="9"/>
            <color indexed="81"/>
            <rFont val="Tahoma"/>
            <family val="2"/>
          </rPr>
          <t xml:space="preserve">
1 of each:
PQSI Coil-Lock Model 1000-120V         QTY 1 $233.28ea.
PQSI Coil-Lock Model 1001-120V         QTY 1  $233.28ea.
PQSI Coil-Lock Model 1002-120V         QTY 1    $233.28ea.
PQSI Coil-Lock Model 1002-120V-CE    QTY 1   $262.44ea.
PQSI Coil-Lock Model 1003-120V         QTY 1  $262.44ea.
PQSI Coil-Lock Model 1001-240V         QTY 1 $233.28ea.
PQSI Coil-Lock Model 1002-240V         QTY 1    $233.28ea.
PQSI Coil-Lock Model 1003-240V         QTY 1    $233.28ea.
</t>
        </r>
      </text>
    </comment>
    <comment ref="C255" authorId="1" shapeId="0" xr:uid="{C64F95B0-C28D-4174-9CDE-F16269BC9B29}">
      <text>
        <r>
          <rPr>
            <b/>
            <sz val="9"/>
            <color indexed="81"/>
            <rFont val="Tahoma"/>
            <family val="2"/>
          </rPr>
          <t>Larry Piercy:</t>
        </r>
        <r>
          <rPr>
            <sz val="9"/>
            <color indexed="81"/>
            <rFont val="Tahoma"/>
            <family val="2"/>
          </rPr>
          <t xml:space="preserve">
First request 07/06/23 @ 9:01PM.  </t>
        </r>
      </text>
    </comment>
    <comment ref="O256" authorId="1" shapeId="0" xr:uid="{8B16C998-B790-4E9B-8B63-690566463978}">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57" authorId="1" shapeId="0" xr:uid="{41A6B596-F85E-471A-87DD-3A2CC1BDB198}">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58" authorId="1" shapeId="0" xr:uid="{6FE9ADEC-F60A-468F-B39A-0BA5FAFC6E90}">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59" authorId="1" shapeId="0" xr:uid="{CEE6257D-F582-4C4A-BD2C-B2FC9958696A}">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60" authorId="1" shapeId="0" xr:uid="{98ADD0C7-9BDF-49AC-B04C-AFF7CFAF5C60}">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61" authorId="1" shapeId="0" xr:uid="{E2D6376E-C1CC-4F68-B21F-D33B529022C0}">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62" authorId="1" shapeId="0" xr:uid="{EE35DC72-7195-44EC-93B3-884C03B94AE4}">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63" authorId="1" shapeId="0" xr:uid="{20294B7A-C848-4478-9148-34391233B98E}">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65" authorId="1" shapeId="0" xr:uid="{5A613E6C-4BF6-4250-B78D-736DF1825E26}">
      <text>
        <r>
          <rPr>
            <b/>
            <sz val="9"/>
            <color indexed="81"/>
            <rFont val="Tahoma"/>
            <family val="2"/>
          </rPr>
          <t>Larry Piercy:</t>
        </r>
        <r>
          <rPr>
            <sz val="9"/>
            <color indexed="81"/>
            <rFont val="Tahoma"/>
            <family val="2"/>
          </rPr>
          <t xml:space="preserve">
MIS 1000-120V                Qty:39               Price: $168.99 each
MIS 1001-120V                Qty:39               Price: $168.99  each
MIS 1002-120V                Qty:39               Price: $168.99 each
MIS 1003-120V                Qty:39               Price: $187.76 each
MIS 1001-240V                Qty:11               Price: $176.36 each
MIS 1002-240V                Qty:11               Price: $176.36 each
MIS 1003-240V                Qty:11               Price: $176.36 each
MIS 1004-240V                Qty:11               Price: $x each Discontinued.
</t>
        </r>
      </text>
    </comment>
    <comment ref="O269" authorId="1" shapeId="0" xr:uid="{FCCDFDC1-1EC0-46B6-8026-56BBB1957127}">
      <text>
        <r>
          <rPr>
            <b/>
            <sz val="9"/>
            <color indexed="81"/>
            <rFont val="Tahoma"/>
            <family val="2"/>
          </rPr>
          <t>Larry Piercy:</t>
        </r>
        <r>
          <rPr>
            <sz val="9"/>
            <color indexed="81"/>
            <rFont val="Tahoma"/>
            <family val="2"/>
          </rPr>
          <t xml:space="preserve">
P/N: PQSI VNC 120Vac Input
Qty: 5
Price 10 amp: $134.02 each
Price 16 amp: #169.02 each
</t>
        </r>
      </text>
    </comment>
    <comment ref="O270" authorId="1" shapeId="0" xr:uid="{24397FD7-0F0E-44E5-A20C-C54F5CF9CEAE}">
      <text>
        <r>
          <rPr>
            <b/>
            <sz val="9"/>
            <color indexed="81"/>
            <rFont val="Tahoma"/>
            <family val="2"/>
          </rPr>
          <t>Larry Piercy:</t>
        </r>
        <r>
          <rPr>
            <sz val="9"/>
            <color indexed="81"/>
            <rFont val="Tahoma"/>
            <family val="2"/>
          </rPr>
          <t xml:space="preserve">
P/N: 1000-120V  Qty:  2   Price: $184.76 each
P/N: 1001-120V  Qty:  2   Price: $184.76 each
P/N: 1002-120V  Qty:  3   Price: $184.76 each
P/N: 1003-120V  Qty:  13  Price: $195.96 each
</t>
        </r>
      </text>
    </comment>
    <comment ref="S270" authorId="1" shapeId="0" xr:uid="{3EF65011-B7A5-4185-B642-F722DD592ACD}">
      <text>
        <r>
          <rPr>
            <b/>
            <sz val="9"/>
            <color indexed="81"/>
            <rFont val="Tahoma"/>
            <family val="2"/>
          </rPr>
          <t>Larry Piercy:</t>
        </r>
        <r>
          <rPr>
            <sz val="9"/>
            <color indexed="81"/>
            <rFont val="Tahoma"/>
            <family val="2"/>
          </rPr>
          <t xml:space="preserve">
Proforma invoice - would not send an updated PO</t>
        </r>
      </text>
    </comment>
    <comment ref="O271" authorId="1" shapeId="0" xr:uid="{ABE5A3A1-F285-48C7-B387-9198FCF86472}">
      <text>
        <r>
          <rPr>
            <b/>
            <sz val="9"/>
            <color indexed="81"/>
            <rFont val="Tahoma"/>
            <family val="2"/>
          </rPr>
          <t>Larry Piercy:</t>
        </r>
        <r>
          <rPr>
            <sz val="9"/>
            <color indexed="81"/>
            <rFont val="Tahoma"/>
            <family val="2"/>
          </rPr>
          <t xml:space="preserve">
P/N:   1002-120V
Qty:  2-4  5-9  10-24  25-49  50-100
Unit Price:  $184.76 $180.56 $176.36 $168.99 $164.87
</t>
        </r>
      </text>
    </comment>
    <comment ref="Q273" authorId="1" shapeId="0" xr:uid="{98D9C7C1-4E25-4B3F-AF85-23C25CC05C9F}">
      <text>
        <r>
          <rPr>
            <b/>
            <sz val="9"/>
            <color indexed="81"/>
            <rFont val="Tahoma"/>
            <family val="2"/>
          </rPr>
          <t>Larry Piercy:</t>
        </r>
        <r>
          <rPr>
            <sz val="9"/>
            <color indexed="81"/>
            <rFont val="Tahoma"/>
            <family val="2"/>
          </rPr>
          <t xml:space="preserve">
Wire &amp; Out of Country</t>
        </r>
      </text>
    </comment>
    <comment ref="O274" authorId="1" shapeId="0" xr:uid="{9D3F2C31-5F0E-4E32-B6E8-2EC25CB3B0D0}">
      <text>
        <r>
          <rPr>
            <b/>
            <sz val="9"/>
            <color indexed="81"/>
            <rFont val="Tahoma"/>
            <family val="2"/>
          </rPr>
          <t>Larry Piercy:</t>
        </r>
        <r>
          <rPr>
            <sz val="9"/>
            <color indexed="81"/>
            <rFont val="Tahoma"/>
            <family val="2"/>
          </rPr>
          <t xml:space="preserve">
P/N: 1002-120V                 Qty:  12                 Price: $176.36 each
P/N: 1003-120V                 Qty:  11                 Price: $195.96 each
</t>
        </r>
      </text>
    </comment>
    <comment ref="Q278" authorId="1" shapeId="0" xr:uid="{C7BF2001-CD47-4C56-A0D8-24BCEA55BE01}">
      <text>
        <r>
          <rPr>
            <b/>
            <sz val="9"/>
            <color indexed="81"/>
            <rFont val="Tahoma"/>
            <family val="2"/>
          </rPr>
          <t>Larry Piercy:</t>
        </r>
        <r>
          <rPr>
            <sz val="9"/>
            <color indexed="81"/>
            <rFont val="Tahoma"/>
            <family val="2"/>
          </rPr>
          <t xml:space="preserve">
shipping</t>
        </r>
      </text>
    </comment>
    <comment ref="Q279" authorId="1" shapeId="0" xr:uid="{09B4BE74-8EB3-4B65-B5F6-750AB474AD5F}">
      <text>
        <r>
          <rPr>
            <b/>
            <sz val="9"/>
            <color indexed="81"/>
            <rFont val="Tahoma"/>
            <family val="2"/>
          </rPr>
          <t>Larry Piercy:</t>
        </r>
        <r>
          <rPr>
            <sz val="9"/>
            <color indexed="81"/>
            <rFont val="Tahoma"/>
            <family val="2"/>
          </rPr>
          <t xml:space="preserve">
CC fee</t>
        </r>
      </text>
    </comment>
    <comment ref="J280" authorId="0" shapeId="0" xr:uid="{570A60C7-7430-44D1-BF47-2850FA406244}">
      <text>
        <r>
          <rPr>
            <b/>
            <sz val="9"/>
            <color indexed="81"/>
            <rFont val="Tahoma"/>
            <family val="2"/>
          </rPr>
          <t>Tim Sheffield:</t>
        </r>
        <r>
          <rPr>
            <sz val="9"/>
            <color indexed="81"/>
            <rFont val="Tahoma"/>
            <family val="2"/>
          </rPr>
          <t xml:space="preserve">
reciepts go to AParra@crawfordelectricsupply.com</t>
        </r>
      </text>
    </comment>
    <comment ref="O280" authorId="0" shapeId="0" xr:uid="{E6AC117F-DEDC-4CC8-BFA5-0E3F962AA74F}">
      <text>
        <r>
          <rPr>
            <b/>
            <sz val="9"/>
            <color indexed="81"/>
            <rFont val="Tahoma"/>
            <family val="2"/>
          </rPr>
          <t>Tim Sheffield:</t>
        </r>
        <r>
          <rPr>
            <sz val="9"/>
            <color indexed="81"/>
            <rFont val="Tahoma"/>
            <family val="2"/>
          </rPr>
          <t xml:space="preserve">
Includes 3% CC fee.</t>
        </r>
      </text>
    </comment>
    <comment ref="M294" authorId="1" shapeId="0" xr:uid="{A6F70394-73C9-4ED0-81C3-E7235D5B52AC}">
      <text>
        <r>
          <rPr>
            <b/>
            <sz val="9"/>
            <color indexed="81"/>
            <rFont val="Tahoma"/>
            <family val="2"/>
          </rPr>
          <t>Larry Piercy:</t>
        </r>
        <r>
          <rPr>
            <sz val="9"/>
            <color indexed="81"/>
            <rFont val="Tahoma"/>
            <family val="2"/>
          </rPr>
          <t xml:space="preserve">
P/N:  Qty: Unit Price:
PQSI Coil-Lock Model 1000-120V 5 　180.56
PQSI Coil-Lock Model 1002-120V 7 　180.56
</t>
        </r>
      </text>
    </comment>
    <comment ref="J296" authorId="0" shapeId="0" xr:uid="{597533A9-2F2D-4A68-8233-998F4375613B}">
      <text>
        <r>
          <rPr>
            <b/>
            <sz val="9"/>
            <color indexed="81"/>
            <rFont val="Tahoma"/>
            <family val="2"/>
          </rPr>
          <t>Tim Sheffield:</t>
        </r>
        <r>
          <rPr>
            <sz val="9"/>
            <color indexed="81"/>
            <rFont val="Tahoma"/>
            <family val="2"/>
          </rPr>
          <t xml:space="preserve">
reciepts go to AParra@crawfordelectricsupply.com</t>
        </r>
      </text>
    </comment>
    <comment ref="O296" authorId="0" shapeId="0" xr:uid="{4698C2E8-711C-4689-96F3-CEEAC943DF64}">
      <text>
        <r>
          <rPr>
            <b/>
            <sz val="9"/>
            <color indexed="81"/>
            <rFont val="Tahoma"/>
            <family val="2"/>
          </rPr>
          <t>Tim Sheffield:</t>
        </r>
        <r>
          <rPr>
            <sz val="9"/>
            <color indexed="81"/>
            <rFont val="Tahoma"/>
            <family val="2"/>
          </rPr>
          <t xml:space="preserve">
Includes 3% CC fee.</t>
        </r>
      </text>
    </comment>
    <comment ref="M298" authorId="1" shapeId="0" xr:uid="{D7F96401-A911-4E9A-AEA6-2F9A644A8726}">
      <text>
        <r>
          <rPr>
            <b/>
            <sz val="9"/>
            <color indexed="81"/>
            <rFont val="Tahoma"/>
            <family val="2"/>
          </rPr>
          <t>Larry Piercy:</t>
        </r>
        <r>
          <rPr>
            <sz val="9"/>
            <color indexed="81"/>
            <rFont val="Tahoma"/>
            <family val="2"/>
          </rPr>
          <t xml:space="preserve">
• 18x PQSI Coil Lock 1002-120V
• 12x PQSI Coil Lock 1003-120V
• 7x PQSI Coil Lock 1001-120V
• 8x PQSI Coil Lock 1000-120V
</t>
        </r>
      </text>
    </comment>
    <comment ref="O298" authorId="1" shapeId="0" xr:uid="{3F1D172F-0D0E-4CA2-8465-F9AB12C9D2AD}">
      <text>
        <r>
          <rPr>
            <b/>
            <sz val="9"/>
            <color indexed="81"/>
            <rFont val="Tahoma"/>
            <family val="2"/>
          </rPr>
          <t>Larry Piercy:</t>
        </r>
        <r>
          <rPr>
            <sz val="9"/>
            <color indexed="81"/>
            <rFont val="Tahoma"/>
            <family val="2"/>
          </rPr>
          <t xml:space="preserve">
• 18x PQSI Coil Lock 1002-120V = 195.96ea.
• 12x PQSI Coil Lock 1003-120V = 195.96ea.
• 7x PQSI Coil Lock 1001-120V = 200.62ea.
• 8x PQSI Coil Lock 1000-120V = 200.62ea.
</t>
        </r>
      </text>
    </comment>
    <comment ref="O299" authorId="1" shapeId="0" xr:uid="{D0C06F56-8335-4093-8FEC-9A6A38D8D07E}">
      <text>
        <r>
          <rPr>
            <b/>
            <sz val="9"/>
            <color indexed="81"/>
            <rFont val="Tahoma"/>
            <family val="2"/>
          </rPr>
          <t>Larry Piercy:</t>
        </r>
        <r>
          <rPr>
            <sz val="9"/>
            <color indexed="81"/>
            <rFont val="Tahoma"/>
            <family val="2"/>
          </rPr>
          <t xml:space="preserve">
• 18x PQSI Coil Lock 1002-120V = 195.96ea.
• 12x PQSI Coil Lock 1003-120V = 195.96ea.
• 7x PQSI Coil Lock 1001-120V = 200.62ea.
• 8x PQSI Coil Lock 1000-120V = 200.62ea.
• 12x PQSI 1003-120V relays = 195.96ea.
• 12x PQSI 1002-120V relays =195.96ea
</t>
        </r>
      </text>
    </comment>
    <comment ref="M302" authorId="1" shapeId="0" xr:uid="{7557B599-A2BC-4EE2-B5DA-8483AA80C957}">
      <text>
        <r>
          <rPr>
            <b/>
            <sz val="9"/>
            <color indexed="81"/>
            <rFont val="Tahoma"/>
            <family val="2"/>
          </rPr>
          <t>Larry Piercy:</t>
        </r>
        <r>
          <rPr>
            <sz val="9"/>
            <color indexed="81"/>
            <rFont val="Tahoma"/>
            <family val="2"/>
          </rPr>
          <t xml:space="preserve">
• 18x PQSI 1002-120V = $195.96 each
• 12x PQSI 1003-120V = $195.96 each
• 7x PQSI 1001-120V = $200.62
• 8x PQSI 1000-120V = $200.62
</t>
        </r>
      </text>
    </comment>
    <comment ref="M303" authorId="1" shapeId="0" xr:uid="{393932AD-EF1E-407F-B718-91DB4DDCEF1F}">
      <text>
        <r>
          <rPr>
            <b/>
            <sz val="9"/>
            <color indexed="81"/>
            <rFont val="Tahoma"/>
            <family val="2"/>
          </rPr>
          <t>Larry Piercy:</t>
        </r>
        <r>
          <rPr>
            <sz val="9"/>
            <color indexed="81"/>
            <rFont val="Tahoma"/>
            <family val="2"/>
          </rPr>
          <t xml:space="preserve">
• 18x PQSI 1002-120V = $195.96 each
• 12x PQSI 1003-120V = $195.96 each
• 7x PQSI 1001-120V = $200.62
• 8x PQSI 1000-120V = $200.62
</t>
        </r>
      </text>
    </comment>
    <comment ref="M304" authorId="1" shapeId="0" xr:uid="{ECB71A90-C5A1-4454-9EC4-C9F9D9887D8E}">
      <text>
        <r>
          <rPr>
            <b/>
            <sz val="9"/>
            <color indexed="81"/>
            <rFont val="Tahoma"/>
            <family val="2"/>
          </rPr>
          <t>Larry Piercy:</t>
        </r>
        <r>
          <rPr>
            <sz val="9"/>
            <color indexed="81"/>
            <rFont val="Tahoma"/>
            <family val="2"/>
          </rPr>
          <t xml:space="preserve">
• 18x PQSI 1002-120V = $195.96 each
• 12x PQSI 1003-120V = $195.96 each
• 7x PQSI 1001-120V = $200.62
• 8x PQSI 1000-120V = $200.62
</t>
        </r>
      </text>
    </comment>
    <comment ref="M305" authorId="1" shapeId="0" xr:uid="{46C7527E-621C-45B7-B97F-48977F840450}">
      <text>
        <r>
          <rPr>
            <b/>
            <sz val="9"/>
            <color indexed="81"/>
            <rFont val="Tahoma"/>
            <family val="2"/>
          </rPr>
          <t>Larry Piercy:</t>
        </r>
        <r>
          <rPr>
            <sz val="9"/>
            <color indexed="81"/>
            <rFont val="Tahoma"/>
            <family val="2"/>
          </rPr>
          <t xml:space="preserve">
• 18x PQSI 1002-120V = $195.96 each
• 12x PQSI 1003-120V = $195.96 each
• 7x PQSI 1001-120V = $200.62
• 8x PQSI 1000-120V = $200.62
</t>
        </r>
      </text>
    </comment>
    <comment ref="M306" authorId="1" shapeId="0" xr:uid="{9DED0299-2C1E-4041-AF15-741053C2A85E}">
      <text>
        <r>
          <rPr>
            <b/>
            <sz val="9"/>
            <color indexed="81"/>
            <rFont val="Tahoma"/>
            <family val="2"/>
          </rPr>
          <t>Larry Piercy:</t>
        </r>
        <r>
          <rPr>
            <sz val="9"/>
            <color indexed="81"/>
            <rFont val="Tahoma"/>
            <family val="2"/>
          </rPr>
          <t xml:space="preserve">
• 12x PQSI 1003-120V relays = $195.96 each
• 12x PQSI 1002-120V relays = $195.96 each
</t>
        </r>
      </text>
    </comment>
    <comment ref="M307" authorId="1" shapeId="0" xr:uid="{A0EB15E6-ED2B-45CA-A97B-0388D34D36C8}">
      <text>
        <r>
          <rPr>
            <b/>
            <sz val="9"/>
            <color indexed="81"/>
            <rFont val="Tahoma"/>
            <family val="2"/>
          </rPr>
          <t>Larry Piercy:</t>
        </r>
        <r>
          <rPr>
            <sz val="9"/>
            <color indexed="81"/>
            <rFont val="Tahoma"/>
            <family val="2"/>
          </rPr>
          <t xml:space="preserve">
• 12x PQSI 1003-120V relays = $195.96 each
• 12x PQSI 1002-120V relays = $195.96 each
</t>
        </r>
      </text>
    </comment>
    <comment ref="M308" authorId="1" shapeId="0" xr:uid="{C939334F-2018-4B70-9CA8-0883C344750C}">
      <text>
        <r>
          <rPr>
            <b/>
            <sz val="9"/>
            <color indexed="81"/>
            <rFont val="Tahoma"/>
            <family val="2"/>
          </rPr>
          <t>Larry Piercy:</t>
        </r>
        <r>
          <rPr>
            <sz val="9"/>
            <color indexed="81"/>
            <rFont val="Tahoma"/>
            <family val="2"/>
          </rPr>
          <t xml:space="preserve">
Qty:  1 Price: $350.00 each ($350 PO minimum)
Qty:  2 Price: $205.29 each
</t>
        </r>
      </text>
    </comment>
    <comment ref="O310" authorId="1" shapeId="0" xr:uid="{E8298E67-C0F7-4B57-A8C8-608E0B954963}">
      <text>
        <r>
          <rPr>
            <b/>
            <sz val="9"/>
            <color indexed="81"/>
            <rFont val="Tahoma"/>
            <family val="2"/>
          </rPr>
          <t>Larry Piercy:</t>
        </r>
        <r>
          <rPr>
            <sz val="9"/>
            <color indexed="81"/>
            <rFont val="Tahoma"/>
            <family val="2"/>
          </rPr>
          <t xml:space="preserve">
Qty:  10 Price: $125.97 each
Qty:  25 Price: $116.78 each
</t>
        </r>
      </text>
    </comment>
    <comment ref="Q319" authorId="1" shapeId="0" xr:uid="{3937177A-8643-44F5-90AE-C2BD435D5B60}">
      <text>
        <r>
          <rPr>
            <b/>
            <sz val="9"/>
            <color indexed="81"/>
            <rFont val="Tahoma"/>
            <family val="2"/>
          </rPr>
          <t>Larry Piercy:</t>
        </r>
        <r>
          <rPr>
            <sz val="9"/>
            <color indexed="81"/>
            <rFont val="Tahoma"/>
            <family val="2"/>
          </rPr>
          <t xml:space="preserve">
CC fee &amp; shipping</t>
        </r>
      </text>
    </comment>
    <comment ref="F330" authorId="1" shapeId="0" xr:uid="{A000C2D0-7F6B-4B57-9CEC-5B53D2DE9266}">
      <text>
        <r>
          <rPr>
            <b/>
            <sz val="9"/>
            <color indexed="81"/>
            <rFont val="Tahoma"/>
            <family val="2"/>
          </rPr>
          <t>Larry Piercy:</t>
        </r>
        <r>
          <rPr>
            <sz val="9"/>
            <color indexed="81"/>
            <rFont val="Tahoma"/>
            <family val="2"/>
          </rPr>
          <t xml:space="preserve">
Net 30 terms but pays with CC at 30 days so add 3% to item cost</t>
        </r>
      </text>
    </comment>
    <comment ref="Q330" authorId="1" shapeId="0" xr:uid="{B38991A8-96FD-44BD-9CC0-6BD084D4EE4B}">
      <text>
        <r>
          <rPr>
            <b/>
            <sz val="9"/>
            <color indexed="81"/>
            <rFont val="Tahoma"/>
            <family val="2"/>
          </rPr>
          <t>Larry Piercy:</t>
        </r>
        <r>
          <rPr>
            <sz val="9"/>
            <color indexed="81"/>
            <rFont val="Tahoma"/>
            <family val="2"/>
          </rPr>
          <t xml:space="preserve">
Net 30 terms but pays with CC at 30 days so add 3% to item cost</t>
        </r>
      </text>
    </comment>
    <comment ref="F331" authorId="1" shapeId="0" xr:uid="{334A06BA-28E9-485E-97CD-9765DB536F73}">
      <text>
        <r>
          <rPr>
            <b/>
            <sz val="9"/>
            <color indexed="81"/>
            <rFont val="Tahoma"/>
            <family val="2"/>
          </rPr>
          <t>Larry Piercy:</t>
        </r>
        <r>
          <rPr>
            <sz val="9"/>
            <color indexed="81"/>
            <rFont val="Tahoma"/>
            <family val="2"/>
          </rPr>
          <t xml:space="preserve">
Net 30 terms but pays with CC at 30 days so add 3% to item cost</t>
        </r>
      </text>
    </comment>
    <comment ref="Q331" authorId="1" shapeId="0" xr:uid="{2C7DFB7F-7210-4F43-AAA3-E9095C49EF19}">
      <text>
        <r>
          <rPr>
            <b/>
            <sz val="9"/>
            <color indexed="81"/>
            <rFont val="Tahoma"/>
            <family val="2"/>
          </rPr>
          <t>Larry Piercy:</t>
        </r>
        <r>
          <rPr>
            <sz val="9"/>
            <color indexed="81"/>
            <rFont val="Tahoma"/>
            <family val="2"/>
          </rPr>
          <t xml:space="preserve">
Net 30 terms but pays with CC at 30 days so add 3% to item cost</t>
        </r>
      </text>
    </comment>
    <comment ref="O337" authorId="1" shapeId="0" xr:uid="{70A2781D-EA7E-4719-9C35-F96CE9183BB2}">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O338" authorId="1" shapeId="0" xr:uid="{5E75F5B1-1EB6-4BCD-917E-34FFD26EB4A2}">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O339" authorId="1" shapeId="0" xr:uid="{68C7B6D5-5FAA-4458-9511-2AAD4062DF59}">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O340" authorId="1" shapeId="0" xr:uid="{5E8D6F3D-F454-452D-976E-7887EBB24776}">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O341" authorId="1" shapeId="0" xr:uid="{73D3F0EE-7DAC-4A7F-9605-BF2A709882AE}">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O342" authorId="1" shapeId="0" xr:uid="{48E00DC0-7F30-4241-9C8A-C3A6E5116260}">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O343" authorId="1" shapeId="0" xr:uid="{070F4462-3A7E-4135-A499-B49383875576}">
      <text>
        <r>
          <rPr>
            <b/>
            <sz val="9"/>
            <color indexed="81"/>
            <rFont val="Tahoma"/>
            <family val="2"/>
          </rPr>
          <t>Larry Piercy:</t>
        </r>
        <r>
          <rPr>
            <sz val="9"/>
            <color indexed="81"/>
            <rFont val="Tahoma"/>
            <family val="2"/>
          </rPr>
          <t xml:space="preserve">
MIS 1000-120V                Qty:20               Price: $176.36 each
MIS 1001-120V                Qty:20               Price: $176.36 each
MIS 1002-120V                Qty:20               Price: $176.36 each
MIS 1003-120V                Qty:20               Price: $195.96 each
MIS 1001-240V                Qty:20               Price: $176.36 each
MIS 1002-240V                Qty:20               Price: $176.36 each
MIS 1003-240V                Qty:20               Price: $176.36 each
</t>
        </r>
      </text>
    </comment>
    <comment ref="M346" authorId="1" shapeId="0" xr:uid="{42DF7BC8-A6FD-45AA-B16D-8CF429779FA1}">
      <text>
        <r>
          <rPr>
            <b/>
            <sz val="9"/>
            <color indexed="81"/>
            <rFont val="Tahoma"/>
            <family val="2"/>
          </rPr>
          <t>Larry Piercy:</t>
        </r>
        <r>
          <rPr>
            <sz val="9"/>
            <color indexed="81"/>
            <rFont val="Tahoma"/>
            <family val="2"/>
          </rPr>
          <t xml:space="preserve">
Qty:  1 Price: $350.00 each ($350 PO minimum)
Qty:  2 Price: $205.29 each
</t>
        </r>
      </text>
    </comment>
    <comment ref="F356" authorId="1" shapeId="0" xr:uid="{0E176151-C90A-4652-94DE-A2770E0CBF2C}">
      <text>
        <r>
          <rPr>
            <b/>
            <sz val="9"/>
            <color indexed="81"/>
            <rFont val="Tahoma"/>
            <family val="2"/>
          </rPr>
          <t>Larry Piercy:</t>
        </r>
        <r>
          <rPr>
            <sz val="9"/>
            <color indexed="81"/>
            <rFont val="Tahoma"/>
            <family val="2"/>
          </rPr>
          <t xml:space="preserve">
Net 30 terms but pays with CC at 30 days so add 3% to item cost</t>
        </r>
      </text>
    </comment>
    <comment ref="Q356" authorId="1" shapeId="0" xr:uid="{26D65E63-01A1-48F6-B960-410C9CC381C9}">
      <text>
        <r>
          <rPr>
            <b/>
            <sz val="9"/>
            <color indexed="81"/>
            <rFont val="Tahoma"/>
            <family val="2"/>
          </rPr>
          <t>Larry Piercy:</t>
        </r>
        <r>
          <rPr>
            <sz val="9"/>
            <color indexed="81"/>
            <rFont val="Tahoma"/>
            <family val="2"/>
          </rPr>
          <t xml:space="preserve">
Net 30 terms but pays with CC at 30 days so add 3% to item cost</t>
        </r>
      </text>
    </comment>
    <comment ref="O357" authorId="1" shapeId="0" xr:uid="{51265586-133E-4B05-BC73-F864DC6AA03A}">
      <text>
        <r>
          <rPr>
            <b/>
            <sz val="9"/>
            <color indexed="81"/>
            <rFont val="Tahoma"/>
            <family val="2"/>
          </rPr>
          <t>Larry Piercy:</t>
        </r>
        <r>
          <rPr>
            <sz val="9"/>
            <color indexed="81"/>
            <rFont val="Tahoma"/>
            <family val="2"/>
          </rPr>
          <t xml:space="preserve">
We build each model to order so we would build 5 of the 1002-240V then 5 of the 1003-240V next so the cost savings is per model. Also, our costs have gone up recently but since we missed quoting the last request, which was before the cost increase, I will give you this pricing for QTY 10 units on this order only. 
We are pleased to offer the following quote for your consideration:
P/N: 1002-240V
Qty:  5
Price: $180.65 each
P/N: 1003-240V
Qty:  5
Price: $180.65 each
</t>
        </r>
      </text>
    </comment>
    <comment ref="Q357" authorId="1" shapeId="0" xr:uid="{1C84157A-CC96-4140-8A20-3C986C905ED2}">
      <text>
        <r>
          <rPr>
            <b/>
            <sz val="9"/>
            <color indexed="81"/>
            <rFont val="Tahoma"/>
            <family val="2"/>
          </rPr>
          <t>Larry Piercy:</t>
        </r>
        <r>
          <rPr>
            <sz val="9"/>
            <color indexed="81"/>
            <rFont val="Tahoma"/>
            <family val="2"/>
          </rPr>
          <t xml:space="preserve">
Wire &amp; Out of Country</t>
        </r>
      </text>
    </comment>
    <comment ref="R357" authorId="1" shapeId="0" xr:uid="{ADBCF76F-7060-4C61-8D43-1BFF57279E95}">
      <text>
        <r>
          <rPr>
            <b/>
            <sz val="9"/>
            <color indexed="81"/>
            <rFont val="Tahoma"/>
            <family val="2"/>
          </rPr>
          <t>Larry Piercy:</t>
        </r>
        <r>
          <rPr>
            <sz val="9"/>
            <color indexed="81"/>
            <rFont val="Tahoma"/>
            <family val="2"/>
          </rPr>
          <t xml:space="preserve">
RCVD 3-27-24</t>
        </r>
      </text>
    </comment>
    <comment ref="O358" authorId="1" shapeId="0" xr:uid="{9B4553D1-6DA8-447B-B95E-63E79658E349}">
      <text>
        <r>
          <rPr>
            <b/>
            <sz val="9"/>
            <color indexed="81"/>
            <rFont val="Tahoma"/>
            <family val="2"/>
          </rPr>
          <t>Larry Piercy:</t>
        </r>
        <r>
          <rPr>
            <sz val="9"/>
            <color indexed="81"/>
            <rFont val="Tahoma"/>
            <family val="2"/>
          </rPr>
          <t xml:space="preserve">
We build each model to order so we would build 5 of the 1002-240V then 5 of the 1003-240V next so the cost savings is per model. Also, our costs have gone up recently but since we missed quoting the last request, which was before the cost increase, I will give you this pricing for QTY 10 units on this order only. 
We are pleased to offer the following quote for your consideration:
P/N: 1002-240V
Qty:  5
Price: $180.65 each
P/N: 1003-240V
Qty:  5
Price: $180.65 each
</t>
        </r>
      </text>
    </comment>
    <comment ref="Q358" authorId="1" shapeId="0" xr:uid="{67412C6C-5CB1-4F15-B06B-0F3FD218D20A}">
      <text>
        <r>
          <rPr>
            <b/>
            <sz val="9"/>
            <color indexed="81"/>
            <rFont val="Tahoma"/>
            <family val="2"/>
          </rPr>
          <t>Larry Piercy:</t>
        </r>
        <r>
          <rPr>
            <sz val="9"/>
            <color indexed="81"/>
            <rFont val="Tahoma"/>
            <family val="2"/>
          </rPr>
          <t xml:space="preserve">
Wire &amp; Out of Country</t>
        </r>
      </text>
    </comment>
    <comment ref="R358" authorId="1" shapeId="0" xr:uid="{7398D144-832A-4153-ACEA-48B29CCC72C0}">
      <text>
        <r>
          <rPr>
            <b/>
            <sz val="9"/>
            <color indexed="81"/>
            <rFont val="Tahoma"/>
            <family val="2"/>
          </rPr>
          <t>Larry Piercy:</t>
        </r>
        <r>
          <rPr>
            <sz val="9"/>
            <color indexed="81"/>
            <rFont val="Tahoma"/>
            <family val="2"/>
          </rPr>
          <t xml:space="preserve">
RCVD 3-27-24</t>
        </r>
      </text>
    </comment>
    <comment ref="Q363" authorId="1" shapeId="0" xr:uid="{A4A2588B-3B3B-471D-BC5C-2410695EBCF8}">
      <text>
        <r>
          <rPr>
            <b/>
            <sz val="9"/>
            <color indexed="81"/>
            <rFont val="Tahoma"/>
            <family val="2"/>
          </rPr>
          <t>Larry Piercy:</t>
        </r>
        <r>
          <rPr>
            <sz val="9"/>
            <color indexed="81"/>
            <rFont val="Tahoma"/>
            <family val="2"/>
          </rPr>
          <t xml:space="preserve">
Expedite Fee - 24hrs turn</t>
        </r>
      </text>
    </comment>
    <comment ref="O382" authorId="1" shapeId="0" xr:uid="{10547D5E-6BEE-440E-BBFB-1EBF57FC6914}">
      <text>
        <r>
          <rPr>
            <b/>
            <sz val="9"/>
            <color indexed="81"/>
            <rFont val="Tahoma"/>
            <family val="2"/>
          </rPr>
          <t>Larry Piercy:</t>
        </r>
        <r>
          <rPr>
            <sz val="9"/>
            <color indexed="81"/>
            <rFont val="Tahoma"/>
            <family val="2"/>
          </rPr>
          <t xml:space="preserve">
P/N: 1001-120V or 1002-120V
Qty:  2  Price: $205.29 each
Qty:  5  Price: $200.62 each
Qty:  10 Price: $195.96 each
</t>
        </r>
      </text>
    </comment>
    <comment ref="O383" authorId="1" shapeId="0" xr:uid="{0601A9ED-3CBE-4EB3-965E-B6BC995DC4A7}">
      <text>
        <r>
          <rPr>
            <b/>
            <sz val="9"/>
            <color indexed="81"/>
            <rFont val="Tahoma"/>
            <family val="2"/>
          </rPr>
          <t>Larry Piercy:</t>
        </r>
        <r>
          <rPr>
            <sz val="9"/>
            <color indexed="81"/>
            <rFont val="Tahoma"/>
            <family val="2"/>
          </rPr>
          <t xml:space="preserve">
P/N: 1001-120V or 1002-120V
Qty:  2  Price: $205.29 each
Qty:  5  Price: $200.62 each
Qty:  10 Price: $195.96 each
</t>
        </r>
      </text>
    </comment>
    <comment ref="D385" authorId="1" shapeId="0" xr:uid="{3743BF6E-1226-4147-8821-E62AA7128608}">
      <text>
        <r>
          <rPr>
            <b/>
            <sz val="9"/>
            <color indexed="81"/>
            <rFont val="Tahoma"/>
            <family val="2"/>
          </rPr>
          <t>Larry Piercy:</t>
        </r>
        <r>
          <rPr>
            <sz val="9"/>
            <color indexed="81"/>
            <rFont val="Tahoma"/>
            <family val="2"/>
          </rPr>
          <t xml:space="preserve">
&amp; Randy Dupuis </t>
        </r>
      </text>
    </comment>
    <comment ref="D388" authorId="1" shapeId="0" xr:uid="{2F0B55D2-660D-429A-A77A-86C99E3FF10B}">
      <text>
        <r>
          <rPr>
            <b/>
            <sz val="9"/>
            <color indexed="81"/>
            <rFont val="Tahoma"/>
            <family val="2"/>
          </rPr>
          <t>Larry Piercy:</t>
        </r>
        <r>
          <rPr>
            <sz val="9"/>
            <color indexed="81"/>
            <rFont val="Tahoma"/>
            <family val="2"/>
          </rPr>
          <t xml:space="preserve">
and Gena Sander for CC info</t>
        </r>
      </text>
    </comment>
    <comment ref="O390" authorId="1" shapeId="0" xr:uid="{AE558EB9-E8CA-43EF-AA21-8E37B78BF7C6}">
      <text>
        <r>
          <rPr>
            <b/>
            <sz val="9"/>
            <color indexed="81"/>
            <rFont val="Tahoma"/>
            <family val="2"/>
          </rPr>
          <t>Larry Piercy:</t>
        </r>
        <r>
          <rPr>
            <sz val="9"/>
            <color indexed="81"/>
            <rFont val="Tahoma"/>
            <family val="2"/>
          </rPr>
          <t xml:space="preserve">
P/N: 1002-120V
Qty:  1 Price: $350.00 each(PO Minimum)
Qty:  2 Price: $205.29 each</t>
        </r>
      </text>
    </comment>
    <comment ref="F392" authorId="1" shapeId="0" xr:uid="{A7F36996-7216-4EEA-945A-8A69DDD32A7D}">
      <text>
        <r>
          <rPr>
            <b/>
            <sz val="9"/>
            <color indexed="81"/>
            <rFont val="Tahoma"/>
            <family val="2"/>
          </rPr>
          <t>Larry Piercy:</t>
        </r>
        <r>
          <rPr>
            <sz val="9"/>
            <color indexed="81"/>
            <rFont val="Tahoma"/>
            <family val="2"/>
          </rPr>
          <t xml:space="preserve">
AKA Richards</t>
        </r>
      </text>
    </comment>
    <comment ref="O392" authorId="1" shapeId="0" xr:uid="{A5543535-8CBC-4D80-91C5-531AC69AA3C5}">
      <text>
        <r>
          <rPr>
            <b/>
            <sz val="9"/>
            <color indexed="81"/>
            <rFont val="Tahoma"/>
            <family val="2"/>
          </rPr>
          <t>Larry Piercy:</t>
        </r>
        <r>
          <rPr>
            <sz val="9"/>
            <color indexed="81"/>
            <rFont val="Tahoma"/>
            <family val="2"/>
          </rPr>
          <t xml:space="preserve">
P/N: 1001-120V or 1002-120V
Qty:  2  Price: $205.29 each
Qty:  5  Price: $200.62 each
Qty:  10 Price: $195.96 each
</t>
        </r>
      </text>
    </comment>
    <comment ref="D397" authorId="1" shapeId="0" xr:uid="{0C8CDFFD-A083-4F17-A43A-FFB6CAB02A49}">
      <text>
        <r>
          <rPr>
            <b/>
            <sz val="9"/>
            <color indexed="81"/>
            <rFont val="Tahoma"/>
            <family val="2"/>
          </rPr>
          <t>Larry Piercy:</t>
        </r>
        <r>
          <rPr>
            <sz val="9"/>
            <color indexed="81"/>
            <rFont val="Tahoma"/>
            <family val="2"/>
          </rPr>
          <t xml:space="preserve">
&amp; Randy Dupuis </t>
        </r>
      </text>
    </comment>
    <comment ref="O414" authorId="1" shapeId="0" xr:uid="{F4ECC5F0-D345-4CDC-B2D7-3EB7C3FEBDD0}">
      <text>
        <r>
          <rPr>
            <b/>
            <sz val="9"/>
            <color indexed="81"/>
            <rFont val="Tahoma"/>
            <family val="2"/>
          </rPr>
          <t>Larry Piercy:</t>
        </r>
        <r>
          <rPr>
            <sz val="9"/>
            <color indexed="81"/>
            <rFont val="Tahoma"/>
            <family val="2"/>
          </rPr>
          <t xml:space="preserve">
P/N: 1002-120V
Qty:  2-4  Price: $205.29 each
Qty:  5-9  Price: $200.62 each
Qty:  10-24  Price: $195.96 each
</t>
        </r>
      </text>
    </comment>
    <comment ref="O418" authorId="1" shapeId="0" xr:uid="{55B93628-0E93-4578-B505-534F38330CB5}">
      <text>
        <r>
          <rPr>
            <b/>
            <sz val="9"/>
            <color indexed="81"/>
            <rFont val="Tahoma"/>
            <family val="2"/>
          </rPr>
          <t>Larry Piercy:</t>
        </r>
        <r>
          <rPr>
            <sz val="9"/>
            <color indexed="81"/>
            <rFont val="Tahoma"/>
            <family val="2"/>
          </rPr>
          <t xml:space="preserve">
P/N: 1002-120V 
Qty:  1
Price: $350.00 each ( PO Minimum) 
Qty:  2
Price: $205.29 each
Lead Time: 3 weeks to ship ARO
P/N: 1002-120V CE
Qty:  1
Price: $350.00 each ( PO Minimum) 
Qty:  2
Price: $205.29 each
Lead Time: 3 weeks to ship ARO
</t>
        </r>
      </text>
    </comment>
    <comment ref="O419" authorId="1" shapeId="0" xr:uid="{91031C37-645E-40C8-B1FF-135C0491874F}">
      <text>
        <r>
          <rPr>
            <b/>
            <sz val="9"/>
            <color indexed="81"/>
            <rFont val="Tahoma"/>
            <family val="2"/>
          </rPr>
          <t>Larry Piercy:</t>
        </r>
        <r>
          <rPr>
            <sz val="9"/>
            <color indexed="81"/>
            <rFont val="Tahoma"/>
            <family val="2"/>
          </rPr>
          <t xml:space="preserve">
P/N: 1002-120V 
Qty:  1
Price: $350.00 each ( PO Minimum) 
Qty:  2
Price: $205.29 each
Lead Time: 3 weeks to ship ARO
P/N: 1002-120V CE
Qty:  1
Price: $350.00 each ( PO Minimum) 
Qty:  2
Price: $205.29 each
Lead Time: 3 weeks to ship ARO
</t>
        </r>
      </text>
    </comment>
    <comment ref="W428" authorId="1" shapeId="0" xr:uid="{B8CDC981-0936-4B47-A637-16CEDDA34C46}">
      <text>
        <r>
          <rPr>
            <b/>
            <sz val="9"/>
            <color indexed="81"/>
            <rFont val="Tahoma"/>
            <family val="2"/>
          </rPr>
          <t>Larry Piercy:</t>
        </r>
        <r>
          <rPr>
            <sz val="9"/>
            <color indexed="81"/>
            <rFont val="Tahoma"/>
            <family val="2"/>
          </rPr>
          <t xml:space="preserve">
Saw on website, called in.</t>
        </r>
      </text>
    </comment>
    <comment ref="W435" authorId="1" shapeId="0" xr:uid="{B540AA8B-356A-400F-92DB-0ACE0CAA2153}">
      <text>
        <r>
          <rPr>
            <b/>
            <sz val="9"/>
            <color indexed="81"/>
            <rFont val="Tahoma"/>
            <family val="2"/>
          </rPr>
          <t>Larry Piercy:</t>
        </r>
        <r>
          <rPr>
            <sz val="9"/>
            <color indexed="81"/>
            <rFont val="Tahoma"/>
            <family val="2"/>
          </rPr>
          <t xml:space="preserve">
New branch - 1st order</t>
        </r>
      </text>
    </comment>
    <comment ref="O436" authorId="1" shapeId="0" xr:uid="{6160D964-EB52-4B63-8239-4FCC88963511}">
      <text>
        <r>
          <rPr>
            <b/>
            <sz val="9"/>
            <color indexed="81"/>
            <rFont val="Tahoma"/>
            <family val="2"/>
          </rPr>
          <t>Larry Piercy:</t>
        </r>
        <r>
          <rPr>
            <sz val="9"/>
            <color indexed="81"/>
            <rFont val="Tahoma"/>
            <family val="2"/>
          </rPr>
          <t xml:space="preserve">
$40 fees added as $4 each  QTY 10. </t>
        </r>
      </text>
    </comment>
    <comment ref="Q436" authorId="1" shapeId="0" xr:uid="{FED7859F-3580-4AFE-A46D-679A0D8CCC7B}">
      <text>
        <r>
          <rPr>
            <b/>
            <sz val="9"/>
            <color indexed="81"/>
            <rFont val="Tahoma"/>
            <family val="2"/>
          </rPr>
          <t>Larry Piercy:</t>
        </r>
        <r>
          <rPr>
            <sz val="9"/>
            <color indexed="81"/>
            <rFont val="Tahoma"/>
            <family val="2"/>
          </rPr>
          <t xml:space="preserve">
Wire &amp; Out of Country</t>
        </r>
      </text>
    </comment>
    <comment ref="Q437" authorId="1" shapeId="0" xr:uid="{A45B0257-C641-4A92-A6DE-93BDFB2F584E}">
      <text>
        <r>
          <rPr>
            <b/>
            <sz val="9"/>
            <color indexed="81"/>
            <rFont val="Tahoma"/>
            <family val="2"/>
          </rPr>
          <t>Larry Piercy:</t>
        </r>
        <r>
          <rPr>
            <sz val="9"/>
            <color indexed="81"/>
            <rFont val="Tahoma"/>
            <family val="2"/>
          </rPr>
          <t xml:space="preserve">
Wire &amp; Out of Country</t>
        </r>
      </text>
    </comment>
    <comment ref="O439" authorId="1" shapeId="0" xr:uid="{FB67FC31-C286-412B-BF6F-C248DB734868}">
      <text>
        <r>
          <rPr>
            <b/>
            <sz val="9"/>
            <color indexed="81"/>
            <rFont val="Tahoma"/>
            <family val="2"/>
          </rPr>
          <t>Larry Piercy:</t>
        </r>
        <r>
          <rPr>
            <sz val="9"/>
            <color indexed="81"/>
            <rFont val="Tahoma"/>
            <family val="2"/>
          </rPr>
          <t xml:space="preserve">
2=205.29
1=350</t>
        </r>
      </text>
    </comment>
    <comment ref="N460" authorId="1" shapeId="0" xr:uid="{892D5FB4-BB16-4E09-BEFC-D23B32ED9A3C}">
      <text>
        <r>
          <rPr>
            <b/>
            <sz val="9"/>
            <color indexed="81"/>
            <rFont val="Tahoma"/>
            <family val="2"/>
          </rPr>
          <t>Larry Piercy:</t>
        </r>
        <r>
          <rPr>
            <sz val="9"/>
            <color indexed="81"/>
            <rFont val="Tahoma"/>
            <family val="2"/>
          </rPr>
          <t xml:space="preserve">
QTY 2 of every 120V model - same cost.</t>
        </r>
      </text>
    </comment>
    <comment ref="F469" authorId="1" shapeId="0" xr:uid="{C856E79B-F115-456F-8ED8-B3D8D53C1567}">
      <text>
        <r>
          <rPr>
            <b/>
            <sz val="9"/>
            <color indexed="81"/>
            <rFont val="Tahoma"/>
            <family val="2"/>
          </rPr>
          <t>Larry Piercy:</t>
        </r>
        <r>
          <rPr>
            <sz val="9"/>
            <color indexed="81"/>
            <rFont val="Tahoma"/>
            <family val="2"/>
          </rPr>
          <t xml:space="preserve">
Via Pieces industry</t>
        </r>
      </text>
    </comment>
    <comment ref="Q474" authorId="1" shapeId="0" xr:uid="{B02401CA-E792-46C8-B778-CB4E181F6A96}">
      <text>
        <r>
          <rPr>
            <b/>
            <sz val="9"/>
            <color indexed="81"/>
            <rFont val="Tahoma"/>
            <family val="2"/>
          </rPr>
          <t>Larry Piercy:</t>
        </r>
        <r>
          <rPr>
            <sz val="9"/>
            <color indexed="81"/>
            <rFont val="Tahoma"/>
            <family val="2"/>
          </rPr>
          <t xml:space="preserve">
OOC</t>
        </r>
      </text>
    </comment>
    <comment ref="F475" authorId="1" shapeId="0" xr:uid="{CD4DE275-E28E-444A-884B-774EC947A7C9}">
      <text>
        <r>
          <rPr>
            <b/>
            <sz val="9"/>
            <color indexed="81"/>
            <rFont val="Tahoma"/>
            <family val="2"/>
          </rPr>
          <t>Larry Piercy:</t>
        </r>
        <r>
          <rPr>
            <sz val="9"/>
            <color indexed="81"/>
            <rFont val="Tahoma"/>
            <family val="2"/>
          </rPr>
          <t xml:space="preserve">
Flex Leasing Power and Service LLC
11233 East Caley Ave
Suite 900
Centennial, CO 80111</t>
        </r>
      </text>
    </comment>
    <comment ref="O476" authorId="1" shapeId="0" xr:uid="{F8BD99C1-382B-464C-91F5-B6893805C81E}">
      <text>
        <r>
          <rPr>
            <b/>
            <sz val="9"/>
            <color indexed="81"/>
            <rFont val="Tahoma"/>
            <family val="2"/>
          </rPr>
          <t>Larry Piercy:</t>
        </r>
        <r>
          <rPr>
            <sz val="9"/>
            <color indexed="81"/>
            <rFont val="Tahoma"/>
            <family val="2"/>
          </rPr>
          <t xml:space="preserve">
P/N: 1000-120V
Qty:  2 Price: $205.29 each
Qty:  9 Price: $200.62 each
</t>
        </r>
      </text>
    </comment>
    <comment ref="Q481" authorId="1" shapeId="0" xr:uid="{E82E95BA-D690-4A6C-AABD-E21266AFC50F}">
      <text>
        <r>
          <rPr>
            <b/>
            <sz val="9"/>
            <color indexed="81"/>
            <rFont val="Tahoma"/>
            <family val="2"/>
          </rPr>
          <t>Larry Piercy:</t>
        </r>
        <r>
          <rPr>
            <sz val="9"/>
            <color indexed="81"/>
            <rFont val="Tahoma"/>
            <family val="2"/>
          </rPr>
          <t xml:space="preserve">
65 shipping</t>
        </r>
      </text>
    </comment>
    <comment ref="Q485" authorId="1" shapeId="0" xr:uid="{80C03121-22E4-49A0-8C3D-6598D8BCDEFB}">
      <text>
        <r>
          <rPr>
            <b/>
            <sz val="9"/>
            <color indexed="81"/>
            <rFont val="Tahoma"/>
            <family val="2"/>
          </rPr>
          <t>Larry Piercy:</t>
        </r>
        <r>
          <rPr>
            <sz val="9"/>
            <color indexed="81"/>
            <rFont val="Tahoma"/>
            <family val="2"/>
          </rPr>
          <t xml:space="preserve">
NDA</t>
        </r>
      </text>
    </comment>
    <comment ref="Q486" authorId="1" shapeId="0" xr:uid="{9CAE47A5-FE72-4F8A-9D85-FCB442CFEEBC}">
      <text>
        <r>
          <rPr>
            <b/>
            <sz val="9"/>
            <color indexed="81"/>
            <rFont val="Tahoma"/>
            <family val="2"/>
          </rPr>
          <t>Larry Piercy:</t>
        </r>
        <r>
          <rPr>
            <sz val="9"/>
            <color indexed="81"/>
            <rFont val="Tahoma"/>
            <family val="2"/>
          </rPr>
          <t xml:space="preserve">
24hr EXPEDITE</t>
        </r>
      </text>
    </comment>
    <comment ref="R493" authorId="1" shapeId="0" xr:uid="{310B535D-5DC9-4149-BB73-6D3FF6875DA8}">
      <text>
        <r>
          <rPr>
            <b/>
            <sz val="9"/>
            <color indexed="81"/>
            <rFont val="Tahoma"/>
            <family val="2"/>
          </rPr>
          <t>Larry Piercy:</t>
        </r>
        <r>
          <rPr>
            <sz val="9"/>
            <color indexed="81"/>
            <rFont val="Tahoma"/>
            <family val="2"/>
          </rPr>
          <t xml:space="preserve">
Recvd 10/29/24</t>
        </r>
      </text>
    </comment>
    <comment ref="R494" authorId="1" shapeId="0" xr:uid="{EE44420D-366D-46A8-A0FE-C96B0139C65E}">
      <text>
        <r>
          <rPr>
            <b/>
            <sz val="9"/>
            <color indexed="81"/>
            <rFont val="Tahoma"/>
            <family val="2"/>
          </rPr>
          <t>Larry Piercy:</t>
        </r>
        <r>
          <rPr>
            <sz val="9"/>
            <color indexed="81"/>
            <rFont val="Tahoma"/>
            <family val="2"/>
          </rPr>
          <t xml:space="preserve">
Recvd 10/29/24</t>
        </r>
      </text>
    </comment>
    <comment ref="R495" authorId="1" shapeId="0" xr:uid="{C3B56DB8-FE9E-4E6B-90F1-FD04F6863A06}">
      <text>
        <r>
          <rPr>
            <b/>
            <sz val="9"/>
            <color indexed="81"/>
            <rFont val="Tahoma"/>
            <family val="2"/>
          </rPr>
          <t>Larry Piercy:</t>
        </r>
        <r>
          <rPr>
            <sz val="9"/>
            <color indexed="81"/>
            <rFont val="Tahoma"/>
            <family val="2"/>
          </rPr>
          <t xml:space="preserve">
Recvd 10/29/24</t>
        </r>
      </text>
    </comment>
    <comment ref="R496" authorId="1" shapeId="0" xr:uid="{F8087117-8D07-4B85-ACEC-8C60593A9EC9}">
      <text>
        <r>
          <rPr>
            <b/>
            <sz val="9"/>
            <color indexed="81"/>
            <rFont val="Tahoma"/>
            <family val="2"/>
          </rPr>
          <t>Larry Piercy:</t>
        </r>
        <r>
          <rPr>
            <sz val="9"/>
            <color indexed="81"/>
            <rFont val="Tahoma"/>
            <family val="2"/>
          </rPr>
          <t xml:space="preserve">
Recvd 10/29/24</t>
        </r>
      </text>
    </comment>
    <comment ref="O506" authorId="1" shapeId="0" xr:uid="{3F852F84-582E-423B-A8DD-322FED67F25D}">
      <text>
        <r>
          <rPr>
            <b/>
            <sz val="9"/>
            <color indexed="81"/>
            <rFont val="Tahoma"/>
            <family val="2"/>
          </rPr>
          <t>Larry Piercy:</t>
        </r>
        <r>
          <rPr>
            <sz val="9"/>
            <color indexed="81"/>
            <rFont val="Tahoma"/>
            <family val="2"/>
          </rPr>
          <t xml:space="preserve">
P/N:            1002-120V
Qty:                      2-4             5-9             10-24           25-49           50-100
Unit Price             $211.44     $206.64      $201.83       $174.06         $169.81
Lead Time: 3 weeks to ship ARO
  </t>
        </r>
      </text>
    </comment>
    <comment ref="R527" authorId="1" shapeId="0" xr:uid="{D6D3E9EE-A050-46AE-BF83-E14588D886DB}">
      <text>
        <r>
          <rPr>
            <b/>
            <sz val="9"/>
            <color indexed="81"/>
            <rFont val="Tahoma"/>
            <family val="2"/>
          </rPr>
          <t>Larry Piercy:</t>
        </r>
        <r>
          <rPr>
            <sz val="9"/>
            <color indexed="81"/>
            <rFont val="Tahoma"/>
            <family val="2"/>
          </rPr>
          <t xml:space="preserve">
Takes a month for me to see the PO. </t>
        </r>
      </text>
    </comment>
  </commentList>
</comments>
</file>

<file path=xl/sharedStrings.xml><?xml version="1.0" encoding="utf-8"?>
<sst xmlns="http://schemas.openxmlformats.org/spreadsheetml/2006/main" count="5644" uniqueCount="1569">
  <si>
    <t>QUOTE LOG</t>
  </si>
  <si>
    <t>Cathy</t>
  </si>
  <si>
    <t>MAX/Alex</t>
  </si>
  <si>
    <t>Adam/Alex</t>
  </si>
  <si>
    <t>Larry</t>
  </si>
  <si>
    <t>ISSUE</t>
  </si>
  <si>
    <t>Quoting</t>
  </si>
  <si>
    <t>Have PO</t>
  </si>
  <si>
    <t>LOST</t>
  </si>
  <si>
    <t>VOID</t>
  </si>
  <si>
    <t>Status</t>
  </si>
  <si>
    <t>RFQ Date</t>
  </si>
  <si>
    <t>BOM Setup &amp; Review</t>
  </si>
  <si>
    <t>Boards Complete</t>
  </si>
  <si>
    <t>Parts Complete</t>
  </si>
  <si>
    <t>Labor Complete</t>
  </si>
  <si>
    <t>Date Sent</t>
  </si>
  <si>
    <t>Voided Quote</t>
  </si>
  <si>
    <t>First</t>
  </si>
  <si>
    <t>Last</t>
  </si>
  <si>
    <t>Company</t>
  </si>
  <si>
    <t>Tax Exempt Form on File</t>
  </si>
  <si>
    <t>Phone</t>
  </si>
  <si>
    <t>Ext</t>
  </si>
  <si>
    <t>Email</t>
  </si>
  <si>
    <t>City</t>
  </si>
  <si>
    <t>State</t>
  </si>
  <si>
    <t>Boards &amp; Assembly</t>
  </si>
  <si>
    <t>Part Number/ Name</t>
  </si>
  <si>
    <t>Rev</t>
  </si>
  <si>
    <t>NEW/ EXISTING Job</t>
  </si>
  <si>
    <t>Job #</t>
  </si>
  <si>
    <t>ITAR</t>
  </si>
  <si>
    <t>Qty for pricing / won</t>
  </si>
  <si>
    <t>Quote Qty / Ship Qty</t>
  </si>
  <si>
    <t>Per Piece</t>
  </si>
  <si>
    <t>Extended</t>
  </si>
  <si>
    <t>Total NRE</t>
  </si>
  <si>
    <t>PO#</t>
  </si>
  <si>
    <t>PO Date</t>
  </si>
  <si>
    <t>PO Confirmed Date</t>
  </si>
  <si>
    <t>PO Ship Date</t>
  </si>
  <si>
    <t>PO Due Date</t>
  </si>
  <si>
    <t>WORK ORDER NUMBER</t>
  </si>
  <si>
    <t>Feedback / Notes</t>
  </si>
  <si>
    <t>Source</t>
  </si>
  <si>
    <t>Reason Quote Lost</t>
  </si>
  <si>
    <t>Quote Follow-up
30 Day</t>
  </si>
  <si>
    <t>Quote Follow-up
60 Day</t>
  </si>
  <si>
    <t>Closed
After 90 Days</t>
  </si>
  <si>
    <t>WEEKNUM</t>
  </si>
  <si>
    <t>N/A</t>
  </si>
  <si>
    <t>NO QUOTE</t>
  </si>
  <si>
    <t>Mary Ann</t>
  </si>
  <si>
    <t>Waldron</t>
  </si>
  <si>
    <t>UTC Aerospace Systems / Collins Aerospace</t>
  </si>
  <si>
    <t>maryann.waldron@collins.com</t>
  </si>
  <si>
    <t>Monroe</t>
  </si>
  <si>
    <t>NC</t>
  </si>
  <si>
    <t>Boards</t>
  </si>
  <si>
    <t>43100-1422</t>
  </si>
  <si>
    <t>NEW</t>
  </si>
  <si>
    <t>Existing</t>
  </si>
  <si>
    <t>Purchased</t>
  </si>
  <si>
    <t>Charlotte</t>
  </si>
  <si>
    <t>Assembly</t>
  </si>
  <si>
    <t>CBS ArcSafe</t>
  </si>
  <si>
    <t>EXISTING</t>
  </si>
  <si>
    <t>Steve</t>
  </si>
  <si>
    <t>Wilmore Electronics</t>
  </si>
  <si>
    <t>MoTeC Systems East</t>
  </si>
  <si>
    <t>Mooresville</t>
  </si>
  <si>
    <t>Cables / Harness</t>
  </si>
  <si>
    <t>Patrick</t>
  </si>
  <si>
    <t>Vintage Electron, Inc.</t>
  </si>
  <si>
    <t>Paul</t>
  </si>
  <si>
    <t>Aegis Power Systems</t>
  </si>
  <si>
    <t>Kevin</t>
  </si>
  <si>
    <t>Pyott Boone</t>
  </si>
  <si>
    <t>N. Tazewell</t>
  </si>
  <si>
    <t>VA</t>
  </si>
  <si>
    <t>Lewis InfoTech, Inc.</t>
  </si>
  <si>
    <t>Marietta</t>
  </si>
  <si>
    <t>GA</t>
  </si>
  <si>
    <t>Full Consignment</t>
  </si>
  <si>
    <t>Mitchell</t>
  </si>
  <si>
    <t>Add-On Technologies, Inc.</t>
  </si>
  <si>
    <t>Andrea</t>
  </si>
  <si>
    <t>Harsco Rail</t>
  </si>
  <si>
    <t>SC</t>
  </si>
  <si>
    <t>Dean</t>
  </si>
  <si>
    <t>MFJ Enterprises / Ameritron</t>
  </si>
  <si>
    <t>MS</t>
  </si>
  <si>
    <t>Appalachian Electronic</t>
  </si>
  <si>
    <t>Parker</t>
  </si>
  <si>
    <t>Robert</t>
  </si>
  <si>
    <t>NJ</t>
  </si>
  <si>
    <t>Southern Electrical Equipment Co. (SEECO)</t>
  </si>
  <si>
    <t>V818-1618</t>
  </si>
  <si>
    <t>Beth</t>
  </si>
  <si>
    <t>Laverne</t>
  </si>
  <si>
    <t>Byrd</t>
  </si>
  <si>
    <t>Parata Systems</t>
  </si>
  <si>
    <t>Michael</t>
  </si>
  <si>
    <t>CMH Industries</t>
  </si>
  <si>
    <t>Gary</t>
  </si>
  <si>
    <t>Carotron</t>
  </si>
  <si>
    <t>IBML</t>
  </si>
  <si>
    <t>AL</t>
  </si>
  <si>
    <t>Medical Fit Solutions / Core Health &amp; Fitness</t>
  </si>
  <si>
    <t>WA</t>
  </si>
  <si>
    <t>EAG of Americas, Inc.</t>
  </si>
  <si>
    <t>TN</t>
  </si>
  <si>
    <t>Chris</t>
  </si>
  <si>
    <t>SLMTI</t>
  </si>
  <si>
    <t>WI</t>
  </si>
  <si>
    <t>Bryant</t>
  </si>
  <si>
    <t>TFS Inc</t>
  </si>
  <si>
    <t>Other</t>
  </si>
  <si>
    <t>Laney</t>
  </si>
  <si>
    <t>Transbotics</t>
  </si>
  <si>
    <t>Trutegra</t>
  </si>
  <si>
    <t>Replacement Parts Industries, Inc</t>
  </si>
  <si>
    <t>Tabtronics / Hyde Park</t>
  </si>
  <si>
    <t>ITT Enidine, Inc.</t>
  </si>
  <si>
    <t>Design Technologies LLC</t>
  </si>
  <si>
    <t>Gonzalez</t>
  </si>
  <si>
    <t>Kim</t>
  </si>
  <si>
    <t>Lee</t>
  </si>
  <si>
    <t>Shallco</t>
  </si>
  <si>
    <t>Assembly &amp; Design, Inc.</t>
  </si>
  <si>
    <t>Thomas</t>
  </si>
  <si>
    <t>Chemring</t>
  </si>
  <si>
    <t>Adam</t>
  </si>
  <si>
    <t>Medshift</t>
  </si>
  <si>
    <t xml:space="preserve"> </t>
  </si>
  <si>
    <t>Benjamin Biomedical</t>
  </si>
  <si>
    <t>David</t>
  </si>
  <si>
    <t>Avery</t>
  </si>
  <si>
    <t>Electroswitch</t>
  </si>
  <si>
    <t>davery@electro-nc.com</t>
  </si>
  <si>
    <t>Raleigh</t>
  </si>
  <si>
    <t>86-46-2111</t>
  </si>
  <si>
    <t>Infosense Inc.</t>
  </si>
  <si>
    <t>TX</t>
  </si>
  <si>
    <t>Laura</t>
  </si>
  <si>
    <t>Boon Edam</t>
  </si>
  <si>
    <t>Lillington</t>
  </si>
  <si>
    <t>Dynisco Instruments</t>
  </si>
  <si>
    <t>Hubbell Industrial Controls</t>
  </si>
  <si>
    <t>W818-0385</t>
  </si>
  <si>
    <t>Martin</t>
  </si>
  <si>
    <t>Jared</t>
  </si>
  <si>
    <t>Bill</t>
  </si>
  <si>
    <t>FL</t>
  </si>
  <si>
    <t>Mike</t>
  </si>
  <si>
    <t>Habco</t>
  </si>
  <si>
    <t>Glastonbury</t>
  </si>
  <si>
    <t>CT</t>
  </si>
  <si>
    <t>John</t>
  </si>
  <si>
    <t>Dawn</t>
  </si>
  <si>
    <t>Seaon Enterprises Inc.</t>
  </si>
  <si>
    <t>Concord</t>
  </si>
  <si>
    <t>Bryan</t>
  </si>
  <si>
    <t>Oerlikon Textile Inc.</t>
  </si>
  <si>
    <t>Liburdi Dimetrics Corporation</t>
  </si>
  <si>
    <t>Matrix Controls Co., Inc.</t>
  </si>
  <si>
    <t>Green</t>
  </si>
  <si>
    <t>Tread Corp</t>
  </si>
  <si>
    <t>Unique Electronics</t>
  </si>
  <si>
    <t>006-0499-003</t>
  </si>
  <si>
    <t>Clint</t>
  </si>
  <si>
    <t>Digital Grid Inc.</t>
  </si>
  <si>
    <t>Bob</t>
  </si>
  <si>
    <t>CA</t>
  </si>
  <si>
    <t>Brian</t>
  </si>
  <si>
    <t>Snead</t>
  </si>
  <si>
    <t>Greg</t>
  </si>
  <si>
    <t>CNMC Co., Inc.</t>
  </si>
  <si>
    <t>Hansen</t>
  </si>
  <si>
    <t>B</t>
  </si>
  <si>
    <t>Pentair</t>
  </si>
  <si>
    <t>Balfour Beatty / TPG</t>
  </si>
  <si>
    <t>Andrew</t>
  </si>
  <si>
    <t>North East Circuitree, Inc. (NEC)</t>
  </si>
  <si>
    <t>Huestis</t>
  </si>
  <si>
    <t>Noah</t>
  </si>
  <si>
    <t>Tim</t>
  </si>
  <si>
    <t>KEYper Systems / Taka / ASSA Abloy</t>
  </si>
  <si>
    <t xml:space="preserve">Brisco, Inc. </t>
  </si>
  <si>
    <t>Florida Detention Systems (FDS)</t>
  </si>
  <si>
    <t>BHC Integrated Support Services / Brooks</t>
  </si>
  <si>
    <t>Perez</t>
  </si>
  <si>
    <t>AEI Technologies, Inc.</t>
  </si>
  <si>
    <t>Brown</t>
  </si>
  <si>
    <t>SCR Controls</t>
  </si>
  <si>
    <t>Grimm Scientific</t>
  </si>
  <si>
    <t>OH</t>
  </si>
  <si>
    <t>Mantissa Corporation</t>
  </si>
  <si>
    <t>Corning</t>
  </si>
  <si>
    <t>Wilmington</t>
  </si>
  <si>
    <t>BW / Hayssen Sandiacre</t>
  </si>
  <si>
    <t>Electronic Products Design, Inc. (EPD)</t>
  </si>
  <si>
    <t>Christina</t>
  </si>
  <si>
    <t>Zoetis</t>
  </si>
  <si>
    <t>Durham</t>
  </si>
  <si>
    <t>Sumitomo Electric Interconnect Products, Inc. / SEIP</t>
  </si>
  <si>
    <t>PA</t>
  </si>
  <si>
    <t>Midland</t>
  </si>
  <si>
    <t>Carpenter</t>
  </si>
  <si>
    <t>Wager Company</t>
  </si>
  <si>
    <t>bcarpenter@wagerusa.com</t>
  </si>
  <si>
    <t>7254T</t>
  </si>
  <si>
    <t>7254R</t>
  </si>
  <si>
    <t>Central Metal Fabricators</t>
  </si>
  <si>
    <t>TE Connectivity/AD&amp;M</t>
  </si>
  <si>
    <t>SOS Manufacturing, LLC</t>
  </si>
  <si>
    <t>REM Electronics</t>
  </si>
  <si>
    <t>Warren</t>
  </si>
  <si>
    <t>Mark</t>
  </si>
  <si>
    <t>LMI / Origin Tech</t>
  </si>
  <si>
    <t>Atelier Magnetics</t>
  </si>
  <si>
    <t>Skyler</t>
  </si>
  <si>
    <t>Static Control</t>
  </si>
  <si>
    <t>83-010-6054</t>
  </si>
  <si>
    <t>A1701</t>
  </si>
  <si>
    <t>bill.romaniello@habco.biz</t>
  </si>
  <si>
    <t>Pam</t>
  </si>
  <si>
    <t>Walker</t>
  </si>
  <si>
    <t>Data Flow Systems</t>
  </si>
  <si>
    <t>Angelica</t>
  </si>
  <si>
    <t>TurboPro Inc.</t>
  </si>
  <si>
    <t>NY</t>
  </si>
  <si>
    <t>Powertec</t>
  </si>
  <si>
    <t>Ron</t>
  </si>
  <si>
    <t>Jones</t>
  </si>
  <si>
    <t>Sanchez</t>
  </si>
  <si>
    <t>HABCO</t>
  </si>
  <si>
    <t>Opto-Alignment Technology</t>
  </si>
  <si>
    <t>Allan</t>
  </si>
  <si>
    <t>Holly</t>
  </si>
  <si>
    <t>AAR Mobility Systems</t>
  </si>
  <si>
    <t>Braden</t>
  </si>
  <si>
    <t>Knoxville</t>
  </si>
  <si>
    <t>Eric</t>
  </si>
  <si>
    <t>ATS, Accurate Technology Services</t>
  </si>
  <si>
    <t>Pure Power Technologies</t>
  </si>
  <si>
    <t>Sapphire Technical Systems</t>
  </si>
  <si>
    <t>Jeremy</t>
  </si>
  <si>
    <t>Waylink /Sparrow Labs</t>
  </si>
  <si>
    <t>Current Tools</t>
  </si>
  <si>
    <t>Johnson</t>
  </si>
  <si>
    <t>EESCO / WESCO / Englewood Electric</t>
  </si>
  <si>
    <t>Kavo Kerr/ Pelton &amp; Crane</t>
  </si>
  <si>
    <t>Todd</t>
  </si>
  <si>
    <t>01-20009-07</t>
  </si>
  <si>
    <t>Belleson LLC</t>
  </si>
  <si>
    <t>Glenn</t>
  </si>
  <si>
    <t>Luis</t>
  </si>
  <si>
    <t xml:space="preserve">John </t>
  </si>
  <si>
    <t>Alarm It / Your ATM</t>
  </si>
  <si>
    <t>Process Electronics Corporation</t>
  </si>
  <si>
    <t>Evans</t>
  </si>
  <si>
    <t>Dave</t>
  </si>
  <si>
    <t>Box Scientific</t>
  </si>
  <si>
    <t>Lawrence</t>
  </si>
  <si>
    <t>Dellinger</t>
  </si>
  <si>
    <t>Smith</t>
  </si>
  <si>
    <t>XIS Controls</t>
  </si>
  <si>
    <t>TBD</t>
  </si>
  <si>
    <t>Prime Instruments, Inc.</t>
  </si>
  <si>
    <t>TES ELECTRIC - Schneider Electric</t>
  </si>
  <si>
    <t>Allied Automation, Inc.</t>
  </si>
  <si>
    <t>Jason</t>
  </si>
  <si>
    <t>Carolina Products, Inc.</t>
  </si>
  <si>
    <t>Cable Assembly</t>
  </si>
  <si>
    <t>Tiffany</t>
  </si>
  <si>
    <t>Morgan</t>
  </si>
  <si>
    <t>Circuit Board Medics</t>
  </si>
  <si>
    <t>Joshua</t>
  </si>
  <si>
    <t>Richmond</t>
  </si>
  <si>
    <t>Chase</t>
  </si>
  <si>
    <t>Rayfield</t>
  </si>
  <si>
    <t>Tutco / Farnam</t>
  </si>
  <si>
    <t>Shawn</t>
  </si>
  <si>
    <t>Circor</t>
  </si>
  <si>
    <t>Matt</t>
  </si>
  <si>
    <t>James</t>
  </si>
  <si>
    <t>Avante Health Solutions</t>
  </si>
  <si>
    <t>Flexcell International Corporation</t>
  </si>
  <si>
    <t>Scott</t>
  </si>
  <si>
    <t>Kristina</t>
  </si>
  <si>
    <t>1557-1</t>
  </si>
  <si>
    <t>1557-2</t>
  </si>
  <si>
    <t>Galaxy Electronics Inc (local)</t>
  </si>
  <si>
    <t>D</t>
  </si>
  <si>
    <t>KS</t>
  </si>
  <si>
    <t>Elizabeth</t>
  </si>
  <si>
    <t>Brown &amp; Miller Racing Solutions, LLC</t>
  </si>
  <si>
    <t>7266/7F</t>
  </si>
  <si>
    <t>Henry</t>
  </si>
  <si>
    <t>ESAB / Victor Technologies</t>
  </si>
  <si>
    <t>MI</t>
  </si>
  <si>
    <t>Josh</t>
  </si>
  <si>
    <t>joycea@scc-inc.com</t>
  </si>
  <si>
    <t>K</t>
  </si>
  <si>
    <t>MN</t>
  </si>
  <si>
    <t>Steven</t>
  </si>
  <si>
    <t>Ryan</t>
  </si>
  <si>
    <t>Medina</t>
  </si>
  <si>
    <t>3M</t>
  </si>
  <si>
    <t>Adams Communication &amp; Engineering Technology, Inc. (ACET)</t>
  </si>
  <si>
    <t>Ward</t>
  </si>
  <si>
    <t>Clayton International</t>
  </si>
  <si>
    <t>Tyler</t>
  </si>
  <si>
    <t>Alex</t>
  </si>
  <si>
    <t>Eli</t>
  </si>
  <si>
    <t>KTI Systems</t>
  </si>
  <si>
    <t>Herbert</t>
  </si>
  <si>
    <t>Sigma-Netics, Inc</t>
  </si>
  <si>
    <t>BW Flexible Systems</t>
  </si>
  <si>
    <t>Liberty Engineering Inc.</t>
  </si>
  <si>
    <t>Brad</t>
  </si>
  <si>
    <t>Harris</t>
  </si>
  <si>
    <t>Allison</t>
  </si>
  <si>
    <t>North Tazwell</t>
  </si>
  <si>
    <t>C</t>
  </si>
  <si>
    <t>A</t>
  </si>
  <si>
    <t>MK Systems, Inc.</t>
  </si>
  <si>
    <t>S</t>
  </si>
  <si>
    <t>August</t>
  </si>
  <si>
    <t>Amanda</t>
  </si>
  <si>
    <t>Energizer</t>
  </si>
  <si>
    <t>E2</t>
  </si>
  <si>
    <t xml:space="preserve">Chris </t>
  </si>
  <si>
    <t>Ivan</t>
  </si>
  <si>
    <t>Baker</t>
  </si>
  <si>
    <t>Textrol Inc.</t>
  </si>
  <si>
    <t>MIB309</t>
  </si>
  <si>
    <t>Infrasound Radio, LLC</t>
  </si>
  <si>
    <t>Morales</t>
  </si>
  <si>
    <t>Rework</t>
  </si>
  <si>
    <t>Requoted</t>
  </si>
  <si>
    <t>F</t>
  </si>
  <si>
    <t>Jerry</t>
  </si>
  <si>
    <t>General Crane</t>
  </si>
  <si>
    <t>SCAD Tech</t>
  </si>
  <si>
    <t>Bowen</t>
  </si>
  <si>
    <t>Abbott / International Supply Company / ISCO</t>
  </si>
  <si>
    <t>david.bowen@abbott.com</t>
  </si>
  <si>
    <t>Cap Tester</t>
  </si>
  <si>
    <t>8500L</t>
  </si>
  <si>
    <t>Parts</t>
  </si>
  <si>
    <t>CRayfield@MantissaCorporation.com</t>
  </si>
  <si>
    <t>April</t>
  </si>
  <si>
    <t>McPeak</t>
  </si>
  <si>
    <t>Rework / Full Consignment</t>
  </si>
  <si>
    <t>scsnead@bmrsusa.com</t>
  </si>
  <si>
    <t>Solid State Electronics</t>
  </si>
  <si>
    <t>T7055-01142-105</t>
  </si>
  <si>
    <t>Rural Hall</t>
  </si>
  <si>
    <t>Wesco</t>
  </si>
  <si>
    <t>Max</t>
  </si>
  <si>
    <t>NuDelta Digital</t>
  </si>
  <si>
    <t>GridBridge</t>
  </si>
  <si>
    <t>Romaniells</t>
  </si>
  <si>
    <t>Forrest</t>
  </si>
  <si>
    <t>OK</t>
  </si>
  <si>
    <t>Hill</t>
  </si>
  <si>
    <t xml:space="preserve">Carl </t>
  </si>
  <si>
    <t>Penske</t>
  </si>
  <si>
    <t>UNITED CHEMI-CON</t>
  </si>
  <si>
    <t>Automation Techniques / ATI</t>
  </si>
  <si>
    <t>Transbotics / Scott Robotics</t>
  </si>
  <si>
    <t>Texting Things</t>
  </si>
  <si>
    <t>Howard</t>
  </si>
  <si>
    <t>Total Fire Systems</t>
  </si>
  <si>
    <t>50/100</t>
  </si>
  <si>
    <t>Shelly</t>
  </si>
  <si>
    <t>Cochran</t>
  </si>
  <si>
    <t>Kimball</t>
  </si>
  <si>
    <t>donnyk@dataflowsys.com</t>
  </si>
  <si>
    <t>OR</t>
  </si>
  <si>
    <t>Engineering Boards &amp; Assembly</t>
  </si>
  <si>
    <t>Ray</t>
  </si>
  <si>
    <t>Teresa</t>
  </si>
  <si>
    <t>Group Alpha</t>
  </si>
  <si>
    <t xml:space="preserve">Chase </t>
  </si>
  <si>
    <t>West Entertainment/Atlantis World</t>
  </si>
  <si>
    <t>Johnny</t>
  </si>
  <si>
    <t>johnny.ward@pbeaxell.com</t>
  </si>
  <si>
    <t>CAP Electronics </t>
  </si>
  <si>
    <t>May</t>
  </si>
  <si>
    <t>EQRenew</t>
  </si>
  <si>
    <t>Itema America, Inc.</t>
  </si>
  <si>
    <t>Salem</t>
  </si>
  <si>
    <t>Wang</t>
  </si>
  <si>
    <t>Elliott Realty</t>
  </si>
  <si>
    <t>n/a</t>
  </si>
  <si>
    <t>September</t>
  </si>
  <si>
    <t>Alpha Sound</t>
  </si>
  <si>
    <t>Montie Gear</t>
  </si>
  <si>
    <t xml:space="preserve">  </t>
  </si>
  <si>
    <t>MSI Defense</t>
  </si>
  <si>
    <t>ORQA</t>
  </si>
  <si>
    <t>KCollins@seecoswitch.com</t>
  </si>
  <si>
    <t>Drexel University College of Medicine</t>
  </si>
  <si>
    <t>Chad</t>
  </si>
  <si>
    <t>Daunise</t>
  </si>
  <si>
    <t>email</t>
  </si>
  <si>
    <t>50/100/200</t>
  </si>
  <si>
    <t>Thompson</t>
  </si>
  <si>
    <t>New</t>
  </si>
  <si>
    <t>Stephen</t>
  </si>
  <si>
    <t>Turner</t>
  </si>
  <si>
    <t>Cattron</t>
  </si>
  <si>
    <t>Va</t>
  </si>
  <si>
    <t>Bugeye Technologies, Inc.</t>
  </si>
  <si>
    <t>MO</t>
  </si>
  <si>
    <t>Romero</t>
  </si>
  <si>
    <t>aromero@seecoswitch.com</t>
  </si>
  <si>
    <t>B&gt;C</t>
  </si>
  <si>
    <t>-</t>
  </si>
  <si>
    <t>Powell</t>
  </si>
  <si>
    <t>Carol</t>
  </si>
  <si>
    <t>Montgomery</t>
  </si>
  <si>
    <t>Hunter</t>
  </si>
  <si>
    <t>NCSU</t>
  </si>
  <si>
    <t>8203L</t>
  </si>
  <si>
    <t>Web Unknown</t>
  </si>
  <si>
    <t>Autel</t>
  </si>
  <si>
    <t>fc4@centralmetalfab.com</t>
  </si>
  <si>
    <t>Farmingdale</t>
  </si>
  <si>
    <t>ASAP</t>
  </si>
  <si>
    <t>Linked-In</t>
  </si>
  <si>
    <t>MLF Company, Inc. / Ficalora</t>
  </si>
  <si>
    <t>Lead Time</t>
  </si>
  <si>
    <t>Cost</t>
  </si>
  <si>
    <t>Send UPS RED</t>
  </si>
  <si>
    <t>Another Vendor</t>
  </si>
  <si>
    <t>CAN</t>
  </si>
  <si>
    <t>Bosch via DXP</t>
  </si>
  <si>
    <t>Hsu</t>
  </si>
  <si>
    <t>Review</t>
  </si>
  <si>
    <t>Acker</t>
  </si>
  <si>
    <t>amanda.acker@boonedam.com</t>
  </si>
  <si>
    <t>15 /  180 EAU</t>
  </si>
  <si>
    <t>Pratiksha</t>
  </si>
  <si>
    <t>Darren</t>
  </si>
  <si>
    <t>DXP Enterprises</t>
  </si>
  <si>
    <t>Weaver</t>
  </si>
  <si>
    <t>Rick</t>
  </si>
  <si>
    <t>Control Stuff Inc.</t>
  </si>
  <si>
    <t>Justin</t>
  </si>
  <si>
    <t>Bitar Machine Design</t>
  </si>
  <si>
    <t>BUDGETARY</t>
  </si>
  <si>
    <t>Margaux</t>
  </si>
  <si>
    <t>Pickell</t>
  </si>
  <si>
    <t>skip.cranfill@pbeaxell.com</t>
  </si>
  <si>
    <t>Smith Interconnect (EMC)</t>
  </si>
  <si>
    <t>100</t>
  </si>
  <si>
    <t>Spencer</t>
  </si>
  <si>
    <t>199-0164-1 Transmitter</t>
  </si>
  <si>
    <t>199-0165-1 Receiver</t>
  </si>
  <si>
    <t>984-664-1789</t>
  </si>
  <si>
    <t>Laverne.Byrd@bd.com</t>
  </si>
  <si>
    <t>Redesign</t>
  </si>
  <si>
    <t>Quote Sent</t>
  </si>
  <si>
    <t>Winston-Salem</t>
  </si>
  <si>
    <t>need MPNs</t>
  </si>
  <si>
    <t>Custom Quote</t>
  </si>
  <si>
    <t>Reverse Eng</t>
  </si>
  <si>
    <t>Ontario</t>
  </si>
  <si>
    <t>147-0164-1 Transmitter</t>
  </si>
  <si>
    <t>147-0165-1 Receiver</t>
  </si>
  <si>
    <t>01</t>
  </si>
  <si>
    <t>Zachary</t>
  </si>
  <si>
    <t>Google</t>
  </si>
  <si>
    <t>Need Data</t>
  </si>
  <si>
    <t>301-0971 Light Ring (qty 3 price, plus FAI &amp; PPAP)</t>
  </si>
  <si>
    <t>3/97</t>
  </si>
  <si>
    <t>Not Wheelhouse</t>
  </si>
  <si>
    <t>Susan</t>
  </si>
  <si>
    <t>Referral</t>
  </si>
  <si>
    <t>Parra</t>
  </si>
  <si>
    <t>DEHN, Inc.</t>
  </si>
  <si>
    <t>Thomasnet</t>
  </si>
  <si>
    <t>TechnoMech</t>
  </si>
  <si>
    <t>Ben</t>
  </si>
  <si>
    <t>Mary</t>
  </si>
  <si>
    <t>Crispino</t>
  </si>
  <si>
    <t>704-314-1919</t>
  </si>
  <si>
    <t>mary.crispino@dehn.us</t>
  </si>
  <si>
    <t>8731L</t>
  </si>
  <si>
    <t>Mac-Panel</t>
  </si>
  <si>
    <t>Boyd</t>
  </si>
  <si>
    <t>3030127 (224-0071-001)</t>
  </si>
  <si>
    <t>8736L</t>
  </si>
  <si>
    <t>8739L</t>
  </si>
  <si>
    <t>23453-1</t>
  </si>
  <si>
    <t>23453-2</t>
  </si>
  <si>
    <t>3031352 (500-0069-003)</t>
  </si>
  <si>
    <t>8755L</t>
  </si>
  <si>
    <t>50/100/50EXP/100EXP</t>
  </si>
  <si>
    <t xml:space="preserve">BrainSim Technologies Inc </t>
  </si>
  <si>
    <t>Houston</t>
  </si>
  <si>
    <t>Trade Show</t>
  </si>
  <si>
    <t xml:space="preserve">3031381 (500-0144-002) </t>
  </si>
  <si>
    <t>Barry</t>
  </si>
  <si>
    <t>Clinton</t>
  </si>
  <si>
    <r>
      <t>Relay Assy (HA-BMRS-024</t>
    </r>
    <r>
      <rPr>
        <b/>
        <sz val="10"/>
        <color rgb="FFFF0000"/>
        <rFont val="Calibri"/>
        <family val="2"/>
        <scheme val="minor"/>
      </rPr>
      <t>B</t>
    </r>
    <r>
      <rPr>
        <sz val="10"/>
        <rFont val="Calibri"/>
        <family val="2"/>
        <scheme val="minor"/>
      </rPr>
      <t xml:space="preserve"> -</t>
    </r>
    <r>
      <rPr>
        <b/>
        <sz val="10"/>
        <color rgb="FFFF0000"/>
        <rFont val="Calibri"/>
        <family val="2"/>
        <scheme val="minor"/>
      </rPr>
      <t>H -A</t>
    </r>
  </si>
  <si>
    <t>000-120-12 (2 connectors)</t>
  </si>
  <si>
    <t>000-120-312 (2 connectors)</t>
  </si>
  <si>
    <t>000-120-11 (1 connector)</t>
  </si>
  <si>
    <t>000-120-311 (1 connector)</t>
  </si>
  <si>
    <t>Juan</t>
  </si>
  <si>
    <t>25/50/75</t>
  </si>
  <si>
    <t>v1</t>
  </si>
  <si>
    <t>ACI</t>
  </si>
  <si>
    <t>Angela</t>
  </si>
  <si>
    <t>Wilkerson</t>
  </si>
  <si>
    <t>Redmond</t>
  </si>
  <si>
    <t>Calma</t>
  </si>
  <si>
    <t xml:space="preserve">Rebound Electronics </t>
  </si>
  <si>
    <t>redmond.calma@reboundeu.com</t>
  </si>
  <si>
    <t>80114454</t>
  </si>
  <si>
    <t>Spire Technical Solutions</t>
  </si>
  <si>
    <t>bbryant@spire-tec.com</t>
  </si>
  <si>
    <t>Austin</t>
  </si>
  <si>
    <t>AnalogReadout-02x (AMAT System III reverse eng job in 2015)</t>
  </si>
  <si>
    <t>20/50</t>
  </si>
  <si>
    <t>Rogers</t>
  </si>
  <si>
    <t>Triad Semiconductor</t>
  </si>
  <si>
    <t>mrogers@triadsemi.com</t>
  </si>
  <si>
    <t>TS5510 CEVB</t>
  </si>
  <si>
    <t>15/20/50</t>
  </si>
  <si>
    <t>add NRE</t>
  </si>
  <si>
    <t>POUS4554</t>
  </si>
  <si>
    <t>Customer complained - Max looking to reduce cost</t>
  </si>
  <si>
    <t>23583-2</t>
  </si>
  <si>
    <t>Newman</t>
  </si>
  <si>
    <t>Camax Tool</t>
  </si>
  <si>
    <t>camaxtool@gmail.com</t>
  </si>
  <si>
    <t>Schematics</t>
  </si>
  <si>
    <t>R-C PCBs</t>
  </si>
  <si>
    <t>23578-3</t>
  </si>
  <si>
    <t>Pasternak</t>
  </si>
  <si>
    <t>EAW (Eastern Acoustics Works)</t>
  </si>
  <si>
    <t xml:space="preserve">shawn.pasternak@eaw.com </t>
  </si>
  <si>
    <t>MKD1096 X-Over</t>
  </si>
  <si>
    <t>250/500/1200</t>
  </si>
  <si>
    <t>23584-1</t>
  </si>
  <si>
    <t>23584-2</t>
  </si>
  <si>
    <t>3031409 (500-0159-001)</t>
  </si>
  <si>
    <t>23582-2</t>
  </si>
  <si>
    <t>23582-4</t>
  </si>
  <si>
    <t xml:space="preserve">3031405 (500-0153-003) </t>
  </si>
  <si>
    <t>650/1300</t>
  </si>
  <si>
    <t>8601259D</t>
  </si>
  <si>
    <t>Steven.Dellinger@ga.com</t>
  </si>
  <si>
    <t>Rigid-Flex DEV-GC24B-PCB</t>
  </si>
  <si>
    <t>10/50/100</t>
  </si>
  <si>
    <t>Frenchik</t>
  </si>
  <si>
    <t>800-221-9723</t>
  </si>
  <si>
    <t>darren.frenchik@healthcarecomponents.com</t>
  </si>
  <si>
    <t>DFS-00223-009 (021-0020)</t>
  </si>
  <si>
    <t>A545</t>
  </si>
  <si>
    <t>Cap Desciption update</t>
  </si>
  <si>
    <t>Res Description update</t>
  </si>
  <si>
    <t>Solder Chemistry Update</t>
  </si>
  <si>
    <t>Send to Distribution(WH)</t>
  </si>
  <si>
    <t>MBOM Complete</t>
  </si>
  <si>
    <t>BOM Created</t>
  </si>
  <si>
    <t>ID Label</t>
  </si>
  <si>
    <t>SUB BOM VERIFIED</t>
  </si>
  <si>
    <t>Visual Aids</t>
  </si>
  <si>
    <t>Tool Verification</t>
  </si>
  <si>
    <t>Check_List</t>
  </si>
  <si>
    <t>Gerber/BOM Rev X Ref</t>
  </si>
  <si>
    <t>ECO Req.</t>
  </si>
  <si>
    <t>AOI_Update</t>
  </si>
  <si>
    <t>Work Order</t>
  </si>
  <si>
    <t>Purchase_Data</t>
  </si>
  <si>
    <t>Special Parts</t>
  </si>
  <si>
    <t>ETEST YES</t>
  </si>
  <si>
    <t>PGM YES</t>
  </si>
  <si>
    <t>ITAR YES</t>
  </si>
  <si>
    <t>AOI YES</t>
  </si>
  <si>
    <t>Pick_Order</t>
  </si>
  <si>
    <t>Chemical Quantities</t>
  </si>
  <si>
    <t>Conf. Coating Pictures</t>
  </si>
  <si>
    <t>Epoxy/RTV Instructions</t>
  </si>
  <si>
    <t>Misc. Chemicals</t>
  </si>
  <si>
    <t>1ST YES</t>
  </si>
  <si>
    <t>Check Last Order Issues</t>
  </si>
  <si>
    <t>Box/Final Assembly Pics</t>
  </si>
  <si>
    <t>PROG WHEN?</t>
  </si>
  <si>
    <t>Don't use - new sheet moved to PQSI Orders Sharepoint Site</t>
  </si>
  <si>
    <t>Quote #</t>
  </si>
  <si>
    <t>Qty</t>
  </si>
  <si>
    <t>Fees</t>
  </si>
  <si>
    <t>Ship Date</t>
  </si>
  <si>
    <t>Ship Qty</t>
  </si>
  <si>
    <t>TERMS or Credit Card</t>
  </si>
  <si>
    <t>How find us? Targets? Referred to?</t>
  </si>
  <si>
    <t>Cheng</t>
  </si>
  <si>
    <t>Genergy</t>
  </si>
  <si>
    <t>david.cheng@genergy.cn</t>
  </si>
  <si>
    <t>1001-120V</t>
  </si>
  <si>
    <t>GP2022-1</t>
  </si>
  <si>
    <t>1002-120V</t>
  </si>
  <si>
    <t>1003-120V</t>
  </si>
  <si>
    <t>bowen.wang@powellind.com</t>
  </si>
  <si>
    <t>Yolanda</t>
  </si>
  <si>
    <t>Guerrero</t>
  </si>
  <si>
    <t>Rockwell Automation</t>
  </si>
  <si>
    <t>ymontes@ra.rockwell.com</t>
  </si>
  <si>
    <t>Dyno Nobel</t>
  </si>
  <si>
    <t>angela.johnson@am.dynonobel.com</t>
  </si>
  <si>
    <t>VNC-120VAC</t>
  </si>
  <si>
    <t>Zalina</t>
  </si>
  <si>
    <t>Ngah</t>
  </si>
  <si>
    <t>RP Chemicals</t>
  </si>
  <si>
    <t>zalina.ngah@rpcm.com.my</t>
  </si>
  <si>
    <t>Malaysia</t>
  </si>
  <si>
    <t>1002-240V</t>
  </si>
  <si>
    <t>1003-240V</t>
  </si>
  <si>
    <t>Zach</t>
  </si>
  <si>
    <t>The Reynolds Company</t>
  </si>
  <si>
    <t>turnerz@mc-mc.com</t>
  </si>
  <si>
    <t>Melendez</t>
  </si>
  <si>
    <t>Cain Electrical</t>
  </si>
  <si>
    <t>elim@cainodessa.com</t>
  </si>
  <si>
    <t>Odessa</t>
  </si>
  <si>
    <t>Stephane</t>
  </si>
  <si>
    <t>St-Pierre</t>
  </si>
  <si>
    <t>Greenfield</t>
  </si>
  <si>
    <t>Stephane.StPierre@greenfield.com</t>
  </si>
  <si>
    <t>V21-2106</t>
  </si>
  <si>
    <t>1000-120V</t>
  </si>
  <si>
    <t>Mckinny</t>
  </si>
  <si>
    <t>Corpus Christi Electric Company</t>
  </si>
  <si>
    <t>jmckinny@cc-electric.com</t>
  </si>
  <si>
    <t>Corpus Christi</t>
  </si>
  <si>
    <t>P100080609</t>
  </si>
  <si>
    <t>P100080610</t>
  </si>
  <si>
    <t>Liotto</t>
  </si>
  <si>
    <t>Elliott Electric Supply</t>
  </si>
  <si>
    <t>HunterLiotto@elliottelectric.com</t>
  </si>
  <si>
    <t>Gonzales</t>
  </si>
  <si>
    <t>LA</t>
  </si>
  <si>
    <t>170-000562</t>
  </si>
  <si>
    <t>Greenfield Global</t>
  </si>
  <si>
    <t>Marie-Victorin
Varennes, Quebec, J3X 0J5</t>
  </si>
  <si>
    <t>V22-2069</t>
  </si>
  <si>
    <t>Isis</t>
  </si>
  <si>
    <t>Camacho</t>
  </si>
  <si>
    <t>iacamacho@reynco.com</t>
  </si>
  <si>
    <t>Sewing</t>
  </si>
  <si>
    <t>Integrated Technology Specialists, Inc.</t>
  </si>
  <si>
    <t>itsincbs@aol.com</t>
  </si>
  <si>
    <t>VNC-24Vac</t>
  </si>
  <si>
    <t xml:space="preserve">A </t>
  </si>
  <si>
    <t>Andrews</t>
  </si>
  <si>
    <t>Desert Hills Inc.</t>
  </si>
  <si>
    <t>aandrews@deserthillsinc.com</t>
  </si>
  <si>
    <t>Alicia</t>
  </si>
  <si>
    <t>Crawford Electric</t>
  </si>
  <si>
    <t>bthibodaux@crawfordelectricsupply.com</t>
  </si>
  <si>
    <t>Beaumont</t>
  </si>
  <si>
    <t>E001687323</t>
  </si>
  <si>
    <t>Bryan​ Thibodaux orders, reciepts go to Alicia</t>
  </si>
  <si>
    <t>Rosser</t>
  </si>
  <si>
    <t>Border States Electric Supply</t>
  </si>
  <si>
    <t>jrosser@borderstates.com</t>
  </si>
  <si>
    <t>Fargo</t>
  </si>
  <si>
    <t>ND</t>
  </si>
  <si>
    <t>ACH</t>
  </si>
  <si>
    <t>$147.13 includes $0.75 per unit shipping cost to his location</t>
  </si>
  <si>
    <t>5319-EM-969818S</t>
  </si>
  <si>
    <t>Hover</t>
  </si>
  <si>
    <t>RDALHOVER@wesco.com</t>
  </si>
  <si>
    <t>6705-981502</t>
  </si>
  <si>
    <t>NET 30</t>
  </si>
  <si>
    <t>Paid 30% for one week deliver. Used UPS RED</t>
  </si>
  <si>
    <t>Mugliwa</t>
  </si>
  <si>
    <t>PS&amp;S</t>
  </si>
  <si>
    <t>tmuglia@psands.com</t>
  </si>
  <si>
    <t>see emails</t>
  </si>
  <si>
    <t>Bludau</t>
  </si>
  <si>
    <t>Dealers Electrical Supply</t>
  </si>
  <si>
    <t>Tim.Bludau@contractor.p66.com</t>
  </si>
  <si>
    <t>3% OK but need to add per customer</t>
  </si>
  <si>
    <t>3% noted but I had to add per note on PO</t>
  </si>
  <si>
    <t>5319-EM-970384S</t>
  </si>
  <si>
    <t>Sann</t>
  </si>
  <si>
    <t>Aung</t>
  </si>
  <si>
    <t>POWERTRONIX INC.</t>
  </si>
  <si>
    <t>SannA@powertronix.com</t>
  </si>
  <si>
    <t xml:space="preserve">City </t>
  </si>
  <si>
    <t>1002-120</t>
  </si>
  <si>
    <t xml:space="preserve">Imam Suri </t>
  </si>
  <si>
    <t>Tauladan</t>
  </si>
  <si>
    <t>imam@pcr.ac.id</t>
  </si>
  <si>
    <t>1001-240V</t>
  </si>
  <si>
    <t>Seaman</t>
  </si>
  <si>
    <t>Blackwoods</t>
  </si>
  <si>
    <t>0407 124 474</t>
  </si>
  <si>
    <t>garry.seaman@blackwoods.com.au</t>
  </si>
  <si>
    <t>Collin &amp; April</t>
  </si>
  <si>
    <t>Sefcik</t>
  </si>
  <si>
    <t>CED National Accounts</t>
  </si>
  <si>
    <t>RFQ@premiergpc.com</t>
  </si>
  <si>
    <t>Desert Hills Electrical Supply</t>
  </si>
  <si>
    <t>Latonya</t>
  </si>
  <si>
    <t>Powell Electrical Systems, Inc.</t>
  </si>
  <si>
    <t>Latonya.Lawrence@powellind.com</t>
  </si>
  <si>
    <t>Ari</t>
  </si>
  <si>
    <t>Jabbar</t>
  </si>
  <si>
    <t>Automation Engineering</t>
  </si>
  <si>
    <t>281 886 9499</t>
  </si>
  <si>
    <t>Ari_Jabbar@oxy.com</t>
  </si>
  <si>
    <t>V21-2502</t>
  </si>
  <si>
    <t>1002-120V-CE</t>
  </si>
  <si>
    <t>6705-039691</t>
  </si>
  <si>
    <t>60-9-5825593</t>
  </si>
  <si>
    <t>????</t>
  </si>
  <si>
    <t>Magcalas</t>
  </si>
  <si>
    <t>Royal Industrial Solutions</t>
  </si>
  <si>
    <t>slarson@royalisla.com</t>
  </si>
  <si>
    <t>City of Industry</t>
  </si>
  <si>
    <t>1075-SL966285S</t>
  </si>
  <si>
    <t>1004-240V</t>
  </si>
  <si>
    <t>E001708267</t>
  </si>
  <si>
    <t>Dryden</t>
  </si>
  <si>
    <t>Tamura</t>
  </si>
  <si>
    <t>Parkland Refining</t>
  </si>
  <si>
    <t>Dryden Tamura &lt;Dryden.Tamura@parkland.ca&gt;</t>
  </si>
  <si>
    <t>Burnaby</t>
  </si>
  <si>
    <t>BC</t>
  </si>
  <si>
    <t>Montelbano</t>
  </si>
  <si>
    <t>Monte Electric Inc.</t>
  </si>
  <si>
    <t>201-933-6600</t>
  </si>
  <si>
    <t>monteelectric@optonline.net</t>
  </si>
  <si>
    <t>Clifton</t>
  </si>
  <si>
    <t>3% &amp; 30%</t>
  </si>
  <si>
    <t>VNC 120Vac</t>
  </si>
  <si>
    <t>Via Craig-group</t>
  </si>
  <si>
    <t>Mickey</t>
  </si>
  <si>
    <t>Shulkin</t>
  </si>
  <si>
    <t>Chevron Products Company</t>
  </si>
  <si>
    <t>michaelshulkin@chevron.com</t>
  </si>
  <si>
    <t>00606558852/HPO0057896</t>
  </si>
  <si>
    <t>Solvay</t>
  </si>
  <si>
    <t>clint.baker@solvay.com</t>
  </si>
  <si>
    <t>Pecos</t>
  </si>
  <si>
    <t>P1054006</t>
  </si>
  <si>
    <t>Dickert</t>
  </si>
  <si>
    <t>Gexpro 7190(rexel)</t>
  </si>
  <si>
    <t>Brian.Dickert@gexpro.com</t>
  </si>
  <si>
    <t>P103746835/103752515</t>
  </si>
  <si>
    <t xml:space="preserve">They sent payment to wrong address after I had them corerect it on PO. </t>
  </si>
  <si>
    <t>Thoman</t>
  </si>
  <si>
    <t>Estabrook Corp.</t>
  </si>
  <si>
    <t>Ext. 224</t>
  </si>
  <si>
    <t>chris@estabrk.com</t>
  </si>
  <si>
    <t>DE</t>
  </si>
  <si>
    <t>Clouse</t>
  </si>
  <si>
    <t>225-407-4338</t>
  </si>
  <si>
    <t>kclouse@crawfordelectricsupply.com</t>
  </si>
  <si>
    <t xml:space="preserve">Philip F. </t>
  </si>
  <si>
    <t>Keebler, MSEE</t>
  </si>
  <si>
    <t>Southern Company – Georgia Power Company</t>
  </si>
  <si>
    <t>470-401-8365</t>
  </si>
  <si>
    <t>PFKEEBLE@southernco.com</t>
  </si>
  <si>
    <t>Smyrna</t>
  </si>
  <si>
    <t>One of each</t>
  </si>
  <si>
    <t>979-491-2010</t>
  </si>
  <si>
    <t>Sweeny</t>
  </si>
  <si>
    <t>P000050336</t>
  </si>
  <si>
    <t>Eastman</t>
  </si>
  <si>
    <t>423.863.0633</t>
  </si>
  <si>
    <t>NoahD.Walker@eastman.com</t>
  </si>
  <si>
    <t>1002.120V</t>
  </si>
  <si>
    <t>Workman</t>
  </si>
  <si>
    <t>zachw@cainodessa.com</t>
  </si>
  <si>
    <t>5319-ZW-971913S</t>
  </si>
  <si>
    <t>Morton</t>
  </si>
  <si>
    <t>Graybar</t>
  </si>
  <si>
    <t>rayshaun.morton@graybar.com</t>
  </si>
  <si>
    <t>Hampton</t>
  </si>
  <si>
    <t>TSI Semiconductors</t>
  </si>
  <si>
    <t>susan.jones@tsisemi.com</t>
  </si>
  <si>
    <t>Roseville</t>
  </si>
  <si>
    <t>VNC 24VAC</t>
  </si>
  <si>
    <t>E001728292</t>
  </si>
  <si>
    <t>9045152-00</t>
  </si>
  <si>
    <t>Billy</t>
  </si>
  <si>
    <t>NV5</t>
  </si>
  <si>
    <t>631-774-7997</t>
  </si>
  <si>
    <t>Billy.Parker@nv5.com</t>
  </si>
  <si>
    <t>St. Paul</t>
  </si>
  <si>
    <t>E001730472</t>
  </si>
  <si>
    <t>Credit Card</t>
  </si>
  <si>
    <t xml:space="preserve">Carter </t>
  </si>
  <si>
    <t>Templet</t>
  </si>
  <si>
    <t>Summit Electrical Supply</t>
  </si>
  <si>
    <t>Carter.Templet@summit.com</t>
  </si>
  <si>
    <t xml:space="preserve">Sarah </t>
  </si>
  <si>
    <t xml:space="preserve">Sheldrick </t>
  </si>
  <si>
    <t>Powertech Controls Co., Inc.</t>
  </si>
  <si>
    <t>631-368-6678</t>
  </si>
  <si>
    <t>SSheldrick@powertechcontrols.com</t>
  </si>
  <si>
    <t>Ronkonkoma</t>
  </si>
  <si>
    <t>Ship early only if marked ASAP.</t>
  </si>
  <si>
    <t>Stephens</t>
  </si>
  <si>
    <t>Van Meter Inc.</t>
  </si>
  <si>
    <t>651-769-8041</t>
  </si>
  <si>
    <t>LStephens@vanmeterinc.com</t>
  </si>
  <si>
    <t>Cottage Grove</t>
  </si>
  <si>
    <t>S0</t>
  </si>
  <si>
    <t>AirProducts</t>
  </si>
  <si>
    <t>wardsd@airproducts.com</t>
  </si>
  <si>
    <t>SW001</t>
  </si>
  <si>
    <t>CHI CHIH Instrument Corporation</t>
  </si>
  <si>
    <t xml:space="preserve"> service@817.com.tw</t>
  </si>
  <si>
    <t>Xizhou Township</t>
  </si>
  <si>
    <t>Taiwan</t>
  </si>
  <si>
    <t>ACI230101</t>
  </si>
  <si>
    <t>Out of country/ wire only</t>
  </si>
  <si>
    <t>ACI230102</t>
  </si>
  <si>
    <t>ACI230103</t>
  </si>
  <si>
    <t>CHEV0001</t>
  </si>
  <si>
    <t>E001736912</t>
  </si>
  <si>
    <t>P100084941</t>
  </si>
  <si>
    <t>Heughan</t>
  </si>
  <si>
    <t>Southern Controls</t>
  </si>
  <si>
    <t>Jonathan.Heughan@southerncontrols.com</t>
  </si>
  <si>
    <t>E001739221</t>
  </si>
  <si>
    <t>Neharika</t>
  </si>
  <si>
    <t>Raut</t>
  </si>
  <si>
    <t>neharika.raut@am.dynonobel.com</t>
  </si>
  <si>
    <t>Louisiana</t>
  </si>
  <si>
    <t>Landry</t>
  </si>
  <si>
    <t>337-262-0725</t>
  </si>
  <si>
    <t>tjlandry@reynco.com</t>
  </si>
  <si>
    <t>Broussard</t>
  </si>
  <si>
    <t>Stropolo</t>
  </si>
  <si>
    <t>CStropolo@wescodist.com</t>
  </si>
  <si>
    <t>Metairie</t>
  </si>
  <si>
    <t xml:space="preserve">LA </t>
  </si>
  <si>
    <t>7551-386983</t>
  </si>
  <si>
    <t>Ignore cash terms</t>
  </si>
  <si>
    <t>Abamonte</t>
  </si>
  <si>
    <t>DB Roberts</t>
  </si>
  <si>
    <t>mabamonte@dbroberts.com</t>
  </si>
  <si>
    <t>Rochester</t>
  </si>
  <si>
    <t>1002-240V/120V</t>
  </si>
  <si>
    <t>Gavin</t>
  </si>
  <si>
    <t>Overman</t>
  </si>
  <si>
    <t>IRBY</t>
  </si>
  <si>
    <t>228-865-1120</t>
  </si>
  <si>
    <t>GOVERMAN@IRBY.COM</t>
  </si>
  <si>
    <t>Gulfport</t>
  </si>
  <si>
    <t>NiceCube VNC120Vac</t>
  </si>
  <si>
    <t>Les</t>
  </si>
  <si>
    <t>Les.Spencer@graybar.com</t>
  </si>
  <si>
    <t>E001742882</t>
  </si>
  <si>
    <t>E001743385</t>
  </si>
  <si>
    <t>E001744890</t>
  </si>
  <si>
    <t>Mohamed</t>
  </si>
  <si>
    <t xml:space="preserve">Nosseir, </t>
  </si>
  <si>
    <t>Yara Belle Plaine</t>
  </si>
  <si>
    <t>mohamed.nosseir@yara.com</t>
  </si>
  <si>
    <t>Belle Plaine</t>
  </si>
  <si>
    <t>CND</t>
  </si>
  <si>
    <t>1000/1/2-120V</t>
  </si>
  <si>
    <t>Dalhover</t>
  </si>
  <si>
    <t>RDalhover@wescodist.com</t>
  </si>
  <si>
    <t>Buena Park</t>
  </si>
  <si>
    <t>6705-237973</t>
  </si>
  <si>
    <t>6705-252338</t>
  </si>
  <si>
    <t>4502857805 / 07.02.2023</t>
  </si>
  <si>
    <t>E001749144</t>
  </si>
  <si>
    <t>Pratt</t>
  </si>
  <si>
    <t>Rexel(1406)</t>
  </si>
  <si>
    <t>Michael.Pratt@Rexelusa.com</t>
  </si>
  <si>
    <t>Kingsport</t>
  </si>
  <si>
    <t>S135867114</t>
  </si>
  <si>
    <t>Rexel 30 Net - but pays CC on day 30 so add 3% to unit price</t>
  </si>
  <si>
    <t>Carly</t>
  </si>
  <si>
    <t>Espada</t>
  </si>
  <si>
    <t>coespada@reynco.com</t>
  </si>
  <si>
    <t>Beaty</t>
  </si>
  <si>
    <t>281-787-6691</t>
  </si>
  <si>
    <t>cmbeaty@reynco.com</t>
  </si>
  <si>
    <t>NET 30 as of 07/21/2023</t>
  </si>
  <si>
    <t>JAL Hardware &amp; Engineering</t>
  </si>
  <si>
    <t>sales@jalhardware.com</t>
  </si>
  <si>
    <t>Singapore</t>
  </si>
  <si>
    <t>5319-EM973944S</t>
  </si>
  <si>
    <t>Gumpp</t>
  </si>
  <si>
    <t>andrew.gumpp@wesco.com</t>
  </si>
  <si>
    <t>5565-255503</t>
  </si>
  <si>
    <t>E001755875</t>
  </si>
  <si>
    <t>Ochoa-LaMar</t>
  </si>
  <si>
    <t>cqar@chevron.com</t>
  </si>
  <si>
    <t>ACI031023</t>
  </si>
  <si>
    <t>Payne</t>
  </si>
  <si>
    <t xml:space="preserve">Rexel-Eastman </t>
  </si>
  <si>
    <t>Christopher.Payne@Rexelusa.com</t>
  </si>
  <si>
    <t>rayp@cainhobbs.com</t>
  </si>
  <si>
    <t>Hobbs</t>
  </si>
  <si>
    <t>NM</t>
  </si>
  <si>
    <t>6705-292724</t>
  </si>
  <si>
    <r>
      <t>1002-120V</t>
    </r>
    <r>
      <rPr>
        <b/>
        <sz val="11"/>
        <color theme="1"/>
        <rFont val="Calibri"/>
        <family val="2"/>
        <scheme val="minor"/>
      </rPr>
      <t xml:space="preserve"> CE</t>
    </r>
  </si>
  <si>
    <t>6705-299112</t>
  </si>
  <si>
    <t>E001762917</t>
  </si>
  <si>
    <t>Sternbeck</t>
  </si>
  <si>
    <t>JMC Instruments</t>
  </si>
  <si>
    <t>sternbecks@jmcinstruments.com</t>
  </si>
  <si>
    <t>Centennial</t>
  </si>
  <si>
    <t>Co</t>
  </si>
  <si>
    <t>044/240609645</t>
  </si>
  <si>
    <t>Wire</t>
  </si>
  <si>
    <t>Customer will use DHL to pick up product at our Charlotte location</t>
  </si>
  <si>
    <t>E001771315</t>
  </si>
  <si>
    <t>6705-332582</t>
  </si>
  <si>
    <t>E001772279</t>
  </si>
  <si>
    <t>E001773958</t>
  </si>
  <si>
    <t>anthony.elias@graybar.com</t>
  </si>
  <si>
    <t>Gillespie</t>
  </si>
  <si>
    <t>6705-378748</t>
  </si>
  <si>
    <t>1268-DUO</t>
  </si>
  <si>
    <t>PQSI VNC 24Vac  Input</t>
  </si>
  <si>
    <t>Ashlock</t>
  </si>
  <si>
    <t>scott.ashlock@summit.com</t>
  </si>
  <si>
    <t>midland</t>
  </si>
  <si>
    <t>tx</t>
  </si>
  <si>
    <t>Dwight</t>
  </si>
  <si>
    <t>Stamann</t>
  </si>
  <si>
    <t>Winde Muller</t>
  </si>
  <si>
    <t>dstamann@windemuller.us</t>
  </si>
  <si>
    <t>Sagniaw</t>
  </si>
  <si>
    <t>Email053123</t>
  </si>
  <si>
    <t>50% for 24 hrs</t>
  </si>
  <si>
    <t>Panasino Int'L Corp</t>
  </si>
  <si>
    <t>kopi@att.net</t>
  </si>
  <si>
    <t>Hartsdale</t>
  </si>
  <si>
    <t>date 6 weeks due to high qty</t>
  </si>
  <si>
    <t>1002-120V &amp; 1002-120V each</t>
  </si>
  <si>
    <t>E001790244</t>
  </si>
  <si>
    <t>Mccalla</t>
  </si>
  <si>
    <t>mmccalla@wesco.com</t>
  </si>
  <si>
    <t>Picked up by cap logistics</t>
  </si>
  <si>
    <t>Raphael</t>
  </si>
  <si>
    <t>F. Sartini D.</t>
  </si>
  <si>
    <t>Air Products</t>
  </si>
  <si>
    <t>55-11-993819718</t>
  </si>
  <si>
    <t xml:space="preserve">sartinrf@airproducts.com </t>
  </si>
  <si>
    <t>Angela.Thompson@am.dynonobel.com</t>
  </si>
  <si>
    <t>46944LIT</t>
  </si>
  <si>
    <t>New - small order gave terms. Monitor.</t>
  </si>
  <si>
    <t>Jolene</t>
  </si>
  <si>
    <t>McCann</t>
  </si>
  <si>
    <t>FlexEnergy Solutions</t>
  </si>
  <si>
    <t>jolene.mccann@flexenergy.com</t>
  </si>
  <si>
    <t xml:space="preserve">Grande Prairie, </t>
  </si>
  <si>
    <t>NEW?</t>
  </si>
  <si>
    <t>E001794761</t>
  </si>
  <si>
    <t>Bobby</t>
  </si>
  <si>
    <t>Energy Electric</t>
  </si>
  <si>
    <t>bobbys@energyelect.com</t>
  </si>
  <si>
    <t>E0017974003</t>
  </si>
  <si>
    <t>Emilio</t>
  </si>
  <si>
    <t>Josino</t>
  </si>
  <si>
    <t>Alcoa</t>
  </si>
  <si>
    <t>Emilio.Josino@alcoa.com</t>
  </si>
  <si>
    <t>9196469&gt;&gt;9307227</t>
  </si>
  <si>
    <t>new PO going from CC to Net30</t>
  </si>
  <si>
    <t>Larson</t>
  </si>
  <si>
    <t>Santa Fe Springs</t>
  </si>
  <si>
    <t>Hardis</t>
  </si>
  <si>
    <t>Shie</t>
  </si>
  <si>
    <t>shiehs@airproducts.com</t>
  </si>
  <si>
    <t>Gladis</t>
  </si>
  <si>
    <t xml:space="preserve">Adriana Miranda Armenta </t>
  </si>
  <si>
    <t>gmirand1@ra.rockwell.com</t>
  </si>
  <si>
    <t>Milwaukee</t>
  </si>
  <si>
    <t>Net 60</t>
  </si>
  <si>
    <t>Escovedo</t>
  </si>
  <si>
    <t>aaescovedo@reynco.com</t>
  </si>
  <si>
    <t>James.Allison@duke-energy.com</t>
  </si>
  <si>
    <t>Stephan</t>
  </si>
  <si>
    <t>gpstephan2@gmail.com</t>
  </si>
  <si>
    <t>Order at $300 minimum</t>
  </si>
  <si>
    <t>WESCO</t>
  </si>
  <si>
    <t>CAROLYN.HARRIS@WESCODIST.COM </t>
  </si>
  <si>
    <t>Uniondale</t>
  </si>
  <si>
    <t>New York State Resale # 26-3674095</t>
  </si>
  <si>
    <t>Hancock Electric</t>
  </si>
  <si>
    <t>hanbk@pld.com</t>
  </si>
  <si>
    <t>Hugoton</t>
  </si>
  <si>
    <t>Hanke A-4</t>
  </si>
  <si>
    <t>Expedited (24hrs) + next day air quoted</t>
  </si>
  <si>
    <t>E001807545</t>
  </si>
  <si>
    <t>Leal</t>
  </si>
  <si>
    <t>eleal@cc-electric.com</t>
  </si>
  <si>
    <t>P100089305</t>
  </si>
  <si>
    <t>Schaertl</t>
  </si>
  <si>
    <t>chads@cainsanangelo.com</t>
  </si>
  <si>
    <t>san angelo</t>
  </si>
  <si>
    <t>6765-cs-945451S</t>
  </si>
  <si>
    <t>Julasek</t>
  </si>
  <si>
    <t>tjulasek@reynco.com</t>
  </si>
  <si>
    <t>Ship next day</t>
  </si>
  <si>
    <t>Magee</t>
  </si>
  <si>
    <t>eric.magee@graybar.com</t>
  </si>
  <si>
    <t>5319-ZW-9876639S</t>
  </si>
  <si>
    <t>Van Etten</t>
  </si>
  <si>
    <t>ONSEMI</t>
  </si>
  <si>
    <t>dean.vanetten@onsemi.com</t>
  </si>
  <si>
    <t>Hopewell Junction</t>
  </si>
  <si>
    <t>Nice cubes</t>
  </si>
  <si>
    <t>Chemtrade Electrochem Inc.</t>
  </si>
  <si>
    <t>rbowen@chemtradelogistics.com</t>
  </si>
  <si>
    <t>North Vancouver BC V7H 1S4</t>
  </si>
  <si>
    <t>Canada - New customer via website(Credit Card))</t>
  </si>
  <si>
    <t>Samatha</t>
  </si>
  <si>
    <t>Systems East Inc</t>
  </si>
  <si>
    <t>sam@systemseastinc.com</t>
  </si>
  <si>
    <t>Kenny</t>
  </si>
  <si>
    <t>Lemm</t>
  </si>
  <si>
    <t>kenny.lemm@graybar.com</t>
  </si>
  <si>
    <t>Net 30</t>
  </si>
  <si>
    <t>Vlasek</t>
  </si>
  <si>
    <t>tjvlasek@reynco.com</t>
  </si>
  <si>
    <t>Design Solutions &amp; Integration</t>
  </si>
  <si>
    <t>bevans@dsi.co.com</t>
  </si>
  <si>
    <t>Sioux Falls</t>
  </si>
  <si>
    <t>SD</t>
  </si>
  <si>
    <t>CC</t>
  </si>
  <si>
    <t>New Customer = CC</t>
  </si>
  <si>
    <t>New customer</t>
  </si>
  <si>
    <t>Wedge</t>
  </si>
  <si>
    <t>Mallinckrodt(MNK)</t>
  </si>
  <si>
    <t>david.wedge@mnk.com</t>
  </si>
  <si>
    <t>credit card</t>
  </si>
  <si>
    <t>5319-ZW-976980S</t>
  </si>
  <si>
    <t>parker.johnson@graybar.com</t>
  </si>
  <si>
    <t>E001821136</t>
  </si>
  <si>
    <t>W</t>
  </si>
  <si>
    <t>bradenw@cainmidland.com</t>
  </si>
  <si>
    <t>1002-120V CE</t>
  </si>
  <si>
    <t>Macy</t>
  </si>
  <si>
    <t>Crum Electrical Supply</t>
  </si>
  <si>
    <t>jmacy@crum.com</t>
  </si>
  <si>
    <t>Gillette</t>
  </si>
  <si>
    <t>WY</t>
  </si>
  <si>
    <t>NEW CUSTOMER????</t>
  </si>
  <si>
    <t>V23-2424</t>
  </si>
  <si>
    <t>CANADA</t>
  </si>
  <si>
    <t>Massie</t>
  </si>
  <si>
    <t>Delta Wye Inc</t>
  </si>
  <si>
    <t>307-299-8017</t>
  </si>
  <si>
    <t>tiffanyofdeltawye@gmail.com</t>
  </si>
  <si>
    <t>7551-659351</t>
  </si>
  <si>
    <t>7551-660922</t>
  </si>
  <si>
    <t>Dreano</t>
  </si>
  <si>
    <t>david.dreano@graybar.com</t>
  </si>
  <si>
    <t>Peugnet</t>
  </si>
  <si>
    <t>Johnson Controls</t>
  </si>
  <si>
    <t>Luis.D.Peugnet@jci.com</t>
  </si>
  <si>
    <t>St. Louis</t>
  </si>
  <si>
    <t>VNC 24Vav Input 16A</t>
  </si>
  <si>
    <t>VNC 24Vav Input 10A</t>
  </si>
  <si>
    <t>Ascend Automation Controls</t>
  </si>
  <si>
    <t>dtinoco@camintegrated.com</t>
  </si>
  <si>
    <t>Katy</t>
  </si>
  <si>
    <t>NDA</t>
  </si>
  <si>
    <t>P100910013</t>
  </si>
  <si>
    <t>No $25 fee per Praful</t>
  </si>
  <si>
    <t>Adriana</t>
  </si>
  <si>
    <t>Cryo America(Maximo)</t>
  </si>
  <si>
    <t>amedina@cryoamerican.com</t>
  </si>
  <si>
    <t>Tampa</t>
  </si>
  <si>
    <t>2044-1</t>
  </si>
  <si>
    <t>Morrison</t>
  </si>
  <si>
    <t>Ross Morrison Electrical(RME)</t>
  </si>
  <si>
    <t>mattm@rmelectric.com</t>
  </si>
  <si>
    <t>Baunaby</t>
  </si>
  <si>
    <t>P-MM-100-6027</t>
  </si>
  <si>
    <t>New Customer CC</t>
  </si>
  <si>
    <t>jaredb@cainsanangelo.com</t>
  </si>
  <si>
    <t>Ohlman</t>
  </si>
  <si>
    <t>tjohlman@reynco.com</t>
  </si>
  <si>
    <t>1 week shipping</t>
  </si>
  <si>
    <t>Munday</t>
  </si>
  <si>
    <t>Guillevin International</t>
  </si>
  <si>
    <t>justin.munday@guillevin.com</t>
  </si>
  <si>
    <t>Cost includes CC and OOC fees</t>
  </si>
  <si>
    <t>Jobe</t>
  </si>
  <si>
    <t>KAS</t>
  </si>
  <si>
    <t>shelly.jobe@eeco-net.com</t>
  </si>
  <si>
    <t>Seet</t>
  </si>
  <si>
    <t>Gasochem Projects Supplies Pte Ltd</t>
  </si>
  <si>
    <t>gasochem@singnet.com.sg</t>
  </si>
  <si>
    <t>New = Singapore</t>
  </si>
  <si>
    <t>Merck</t>
  </si>
  <si>
    <t>richard.pasternak1@merck.com</t>
  </si>
  <si>
    <t>Rahway</t>
  </si>
  <si>
    <t>6705-618147</t>
  </si>
  <si>
    <t>Cassey</t>
  </si>
  <si>
    <t>Waltman</t>
  </si>
  <si>
    <t>KBR</t>
  </si>
  <si>
    <t>Cassey.Waltman@kbr.com</t>
  </si>
  <si>
    <t>Geismar</t>
  </si>
  <si>
    <t>New?</t>
  </si>
  <si>
    <t>andrew.hebert@wescodist.com</t>
  </si>
  <si>
    <t>Baton Rouge</t>
  </si>
  <si>
    <t>For KBR line above</t>
  </si>
  <si>
    <t>Lori</t>
  </si>
  <si>
    <t>Marshal</t>
  </si>
  <si>
    <t>lori.marshall@powellind.com</t>
  </si>
  <si>
    <t>For KBR line above?</t>
  </si>
  <si>
    <t>6765-CS-946082S</t>
  </si>
  <si>
    <t>Also quoted QTY 30 @214.33 (1 week) + 70 @164.87 (3wks)</t>
  </si>
  <si>
    <t>cgonzalez@reynco.com</t>
  </si>
  <si>
    <t>RODRIGO</t>
  </si>
  <si>
    <t>NIEBLA</t>
  </si>
  <si>
    <t>rodrigo.niebla@rockwellautomation.com</t>
  </si>
  <si>
    <t>San Diego</t>
  </si>
  <si>
    <t>Whitney</t>
  </si>
  <si>
    <t>mwhitney@wescodist.com</t>
  </si>
  <si>
    <t>6705-658441</t>
  </si>
  <si>
    <t>Urban</t>
  </si>
  <si>
    <t>murban@wescodist.com</t>
  </si>
  <si>
    <t>7587-714981</t>
  </si>
  <si>
    <t>adam</t>
  </si>
  <si>
    <t>castille</t>
  </si>
  <si>
    <t>adam.castille@summit.com</t>
  </si>
  <si>
    <t>email approving 3% CC</t>
  </si>
  <si>
    <t>Tallon</t>
  </si>
  <si>
    <t>rob.tallon@wesco.com</t>
  </si>
  <si>
    <t>PQSI VNC 120Vac Input</t>
  </si>
  <si>
    <t>Joann</t>
  </si>
  <si>
    <t>Dang</t>
  </si>
  <si>
    <t>Craig International Supplies</t>
  </si>
  <si>
    <t>Joann Dang &lt;Joann.Dang@craig-group.com&gt;</t>
  </si>
  <si>
    <t>7374614OL/HPO0068856</t>
  </si>
  <si>
    <t>Wants Terms - says buyer for Parkland Refinery</t>
  </si>
  <si>
    <t>044/240681776</t>
  </si>
  <si>
    <t>Adame</t>
  </si>
  <si>
    <t>All Current</t>
  </si>
  <si>
    <t>jadame@allcurrent.com</t>
  </si>
  <si>
    <t>12/12/20231</t>
  </si>
  <si>
    <t>bweaver@wesco.com</t>
  </si>
  <si>
    <t>Lithia Spgs</t>
  </si>
  <si>
    <t>7587-723371</t>
  </si>
  <si>
    <t>gillespn@mc-mc.com</t>
  </si>
  <si>
    <t>Chemtrade Logistics</t>
  </si>
  <si>
    <t>rygreen@chemtradelogistics.com</t>
  </si>
  <si>
    <t xml:space="preserve"> Ca</t>
  </si>
  <si>
    <t>CTL122023</t>
  </si>
  <si>
    <t>Website</t>
  </si>
  <si>
    <t>E001861895</t>
  </si>
  <si>
    <t>Fabiola</t>
  </si>
  <si>
    <t>fromano@borderstates.com</t>
  </si>
  <si>
    <t>cschaertl@cainsanangelo.com</t>
  </si>
  <si>
    <t>6765-CS-946522S</t>
  </si>
  <si>
    <t>6765-JB-946589S</t>
  </si>
  <si>
    <t>Fox</t>
  </si>
  <si>
    <t>Aritonang</t>
  </si>
  <si>
    <t>PT Mandau Cipta Tenaga Nusantara (MCTN)</t>
  </si>
  <si>
    <t>kevin.vicario@mctn.co.id</t>
  </si>
  <si>
    <t>Jakarta Selatan</t>
  </si>
  <si>
    <t>DKI</t>
  </si>
  <si>
    <t>Thibodaux</t>
  </si>
  <si>
    <t>8 pin relay base</t>
  </si>
  <si>
    <t>E001870925</t>
  </si>
  <si>
    <t>Mariana</t>
  </si>
  <si>
    <t>Robles</t>
  </si>
  <si>
    <t>Baja</t>
  </si>
  <si>
    <t>Kanuch</t>
  </si>
  <si>
    <t>281-615-2748</t>
  </si>
  <si>
    <t>SKanuch@wescodist.com</t>
  </si>
  <si>
    <t>OLD OCEAN</t>
  </si>
  <si>
    <t>Vicario</t>
  </si>
  <si>
    <t>PQSI website</t>
  </si>
  <si>
    <t xml:space="preserve"> jmacy@crum.com</t>
  </si>
  <si>
    <t>Amro</t>
  </si>
  <si>
    <t>Amro.gomaa@TSAR-LLC.com</t>
  </si>
  <si>
    <t>Faiz</t>
  </si>
  <si>
    <t xml:space="preserve">faiz.mohamed@totalenergies.com </t>
  </si>
  <si>
    <t>Mico</t>
  </si>
  <si>
    <t>Wu</t>
  </si>
  <si>
    <t>wumf@airproducts.com</t>
  </si>
  <si>
    <t>100-120V</t>
  </si>
  <si>
    <t>E001872503</t>
  </si>
  <si>
    <t>Isabelle</t>
  </si>
  <si>
    <t>Torres</t>
  </si>
  <si>
    <t>The Dow Chemical Company</t>
  </si>
  <si>
    <t>iptorres@dow.com</t>
  </si>
  <si>
    <t>Wholesale Electric</t>
  </si>
  <si>
    <t>ssmith@wes-hou.com</t>
  </si>
  <si>
    <t>Clute</t>
  </si>
  <si>
    <t>Kao</t>
  </si>
  <si>
    <t>Phillips 66</t>
  </si>
  <si>
    <t>joshua.e.kao@p66.com</t>
  </si>
  <si>
    <t>E001877238</t>
  </si>
  <si>
    <t>Andrew.Gumpp@wescodist.com</t>
  </si>
  <si>
    <t>5565-348838</t>
  </si>
  <si>
    <t>Gabriel</t>
  </si>
  <si>
    <t>Davies</t>
  </si>
  <si>
    <t>gabe.davies@southerncontrols.com</t>
  </si>
  <si>
    <t>9119144-00</t>
  </si>
  <si>
    <t>Sutherland</t>
  </si>
  <si>
    <t>SWPPD</t>
  </si>
  <si>
    <t xml:space="preserve">skylers@swppd.com </t>
  </si>
  <si>
    <t>E001875614</t>
  </si>
  <si>
    <t>murban@wesco.com</t>
  </si>
  <si>
    <t>7587-742391</t>
  </si>
  <si>
    <t>7587-741591</t>
  </si>
  <si>
    <t>5565-350711</t>
  </si>
  <si>
    <t>Tasya</t>
  </si>
  <si>
    <t>Taman baru</t>
  </si>
  <si>
    <t>sales@tamanbaru.com</t>
  </si>
  <si>
    <t>West Sumatera</t>
  </si>
  <si>
    <t>Indonesia</t>
  </si>
  <si>
    <t>CTL020924</t>
  </si>
  <si>
    <t>Elders</t>
  </si>
  <si>
    <t>lelders@crawfordelectricsupply.com</t>
  </si>
  <si>
    <t>E001905140</t>
  </si>
  <si>
    <t xml:space="preserve">Mike </t>
  </si>
  <si>
    <t>6705-755067</t>
  </si>
  <si>
    <t>Perkins</t>
  </si>
  <si>
    <t>mperkins@wesco.com</t>
  </si>
  <si>
    <t>5565-365177</t>
  </si>
  <si>
    <t>Cant do 10 day discount</t>
  </si>
  <si>
    <t>E001886630</t>
  </si>
  <si>
    <t>Brinton</t>
  </si>
  <si>
    <t>Ratcliff</t>
  </si>
  <si>
    <t>Rexel</t>
  </si>
  <si>
    <t>Brinton.Ratcliff@gexpro.com</t>
  </si>
  <si>
    <t>Inside sales</t>
  </si>
  <si>
    <t>P104197103</t>
  </si>
  <si>
    <t>Hendra</t>
  </si>
  <si>
    <t>Susanto</t>
  </si>
  <si>
    <t>PT Mandau Cipta Tenaga Nusantara (MCTN)???</t>
  </si>
  <si>
    <t xml:space="preserve">adminmap@ptmanggala.com </t>
  </si>
  <si>
    <t>1003-240</t>
  </si>
  <si>
    <t>ATI Trading Inc.</t>
  </si>
  <si>
    <t>andrea@atiflow.com</t>
  </si>
  <si>
    <t>P100094708</t>
  </si>
  <si>
    <t>1075-SL980713S</t>
  </si>
  <si>
    <t xml:space="preserve">Brent </t>
  </si>
  <si>
    <t>Bergman</t>
  </si>
  <si>
    <t>Marathon Petroleum</t>
  </si>
  <si>
    <t>babergman@marathonpetroleum.com</t>
  </si>
  <si>
    <t>New website - he was very impressed</t>
  </si>
  <si>
    <t>9120600-00</t>
  </si>
  <si>
    <t>Mandy</t>
  </si>
  <si>
    <t>Duran</t>
  </si>
  <si>
    <t>mlduran@reynco.com</t>
  </si>
  <si>
    <t xml:space="preserve">Manceaux </t>
  </si>
  <si>
    <t>anmanceaux@reynco.com</t>
  </si>
  <si>
    <t>website</t>
  </si>
  <si>
    <t>PLN</t>
  </si>
  <si>
    <t>Jakarta, Indonesia</t>
  </si>
  <si>
    <t>CC New</t>
  </si>
  <si>
    <t>P100095059</t>
  </si>
  <si>
    <t>Shaun</t>
  </si>
  <si>
    <t>Buffie</t>
  </si>
  <si>
    <t>sbuffie@ra.rockwell.com</t>
  </si>
  <si>
    <t>McGill</t>
  </si>
  <si>
    <t>charles.mcgill@rexelusa.com</t>
  </si>
  <si>
    <t>044/240729416</t>
  </si>
  <si>
    <t>Aleksa</t>
  </si>
  <si>
    <t>Divcic</t>
  </si>
  <si>
    <t>adivcic@camintegrated.com</t>
  </si>
  <si>
    <t>AAC032524</t>
  </si>
  <si>
    <t>mariana.robles@rockwellautomation.com</t>
  </si>
  <si>
    <t>24hr EXP</t>
  </si>
  <si>
    <t>7626876 OC/HPO0071315</t>
  </si>
  <si>
    <t>Consolidated Electrical Distributors</t>
  </si>
  <si>
    <t>chad.hill0707@gmail.com</t>
  </si>
  <si>
    <t>CH05052024</t>
  </si>
  <si>
    <t>NEW??</t>
  </si>
  <si>
    <t>yanjiangqiu</t>
  </si>
  <si>
    <t>Web Request</t>
  </si>
  <si>
    <t>yishengindustry@163.com</t>
  </si>
  <si>
    <t>E001908723</t>
  </si>
  <si>
    <t>3% included in cost</t>
  </si>
  <si>
    <t>281845-</t>
  </si>
  <si>
    <t>5319-ZW-980523S</t>
  </si>
  <si>
    <t>5565-368252</t>
  </si>
  <si>
    <t>5565-368276</t>
  </si>
  <si>
    <t>Ruch</t>
  </si>
  <si>
    <t>Check</t>
  </si>
  <si>
    <t>Send Proforma invoice so they can send check</t>
  </si>
  <si>
    <t>P001919526</t>
  </si>
  <si>
    <t>patrick.bryan@summit.com</t>
  </si>
  <si>
    <t>Gonzales?</t>
  </si>
  <si>
    <t>Ralphs Electric</t>
  </si>
  <si>
    <t>none given</t>
  </si>
  <si>
    <t>teresa@ralphselectronics.com</t>
  </si>
  <si>
    <t>Nitza</t>
  </si>
  <si>
    <t>Colon</t>
  </si>
  <si>
    <t>Kendall Electric</t>
  </si>
  <si>
    <t>nitza.colon@kendallelectric.com</t>
  </si>
  <si>
    <t>Bethlehem</t>
  </si>
  <si>
    <t>P101550628</t>
  </si>
  <si>
    <t>Gena Sander
Buyer/Inventory Control
Kendall Group
P | 269-978-3838 x-6470
M | 513-678-9100</t>
  </si>
  <si>
    <t>3% on PO</t>
  </si>
  <si>
    <t>P001921054</t>
  </si>
  <si>
    <t xml:space="preserve">Net 30 </t>
  </si>
  <si>
    <t>EXP - 24 HRs + CC</t>
  </si>
  <si>
    <t>Just changed to Net 30 - urgent so did not change. Will next order.</t>
  </si>
  <si>
    <t>5319-ZW-980941S</t>
  </si>
  <si>
    <t>Riley</t>
  </si>
  <si>
    <t>Blair</t>
  </si>
  <si>
    <t>Fort Resseng?</t>
  </si>
  <si>
    <t>riley.blair@fortresseng.com</t>
  </si>
  <si>
    <t>NEW - CC or check</t>
  </si>
  <si>
    <t>6765-CS-947415S</t>
  </si>
  <si>
    <t>P001921269</t>
  </si>
  <si>
    <t>TJ</t>
  </si>
  <si>
    <t>Due to long lead parts Customer says partial OK</t>
  </si>
  <si>
    <t>Lindgren</t>
  </si>
  <si>
    <t>ECI USA</t>
  </si>
  <si>
    <t>Henry.Lindgren@eciusa.com</t>
  </si>
  <si>
    <t>Total Energies</t>
  </si>
  <si>
    <t>281-476-3892</t>
  </si>
  <si>
    <t>faiz.mohamed@totalenergies.com</t>
  </si>
  <si>
    <t>La Porte</t>
  </si>
  <si>
    <t>Holmes</t>
  </si>
  <si>
    <t>J Supply</t>
  </si>
  <si>
    <t>pholmes@jsupply.com</t>
  </si>
  <si>
    <t>Patricia</t>
  </si>
  <si>
    <t>Ellis</t>
  </si>
  <si>
    <t>patricia.ellis@crawfordelectricsupply.com</t>
  </si>
  <si>
    <t>Decatur</t>
  </si>
  <si>
    <t>VNC-120VAC Icecube</t>
  </si>
  <si>
    <t>E001930607</t>
  </si>
  <si>
    <t>asked for UPS account number - new branch</t>
  </si>
  <si>
    <t>Devona</t>
  </si>
  <si>
    <t>Sharp</t>
  </si>
  <si>
    <t xml:space="preserve"> dsharp@wes-hou.com</t>
  </si>
  <si>
    <t>Wants early but cannot duer to long lead parts</t>
  </si>
  <si>
    <t>Reba</t>
  </si>
  <si>
    <t>State Electric</t>
  </si>
  <si>
    <t xml:space="preserve">Reba.Martin@stateelectric.com </t>
  </si>
  <si>
    <t>Pottenger</t>
  </si>
  <si>
    <t>Pottenger Electric</t>
  </si>
  <si>
    <t>mikepottenger@yahoo.com</t>
  </si>
  <si>
    <t>Elwood</t>
  </si>
  <si>
    <t>IN</t>
  </si>
  <si>
    <t>5319-ZW-981717S</t>
  </si>
  <si>
    <t>Credit Card - Gave 4 week lead time- noted dependednt on long lead parts</t>
  </si>
  <si>
    <t>PO01943173</t>
  </si>
  <si>
    <t>Gave 5 week lead time- noted dependednt on long lead parts.</t>
  </si>
  <si>
    <t>PO01943607</t>
  </si>
  <si>
    <t>Shane</t>
  </si>
  <si>
    <t>O'Shaughnessy</t>
  </si>
  <si>
    <t xml:space="preserve">oshaugsr@airproducts.com </t>
  </si>
  <si>
    <t>AP062424</t>
  </si>
  <si>
    <t>OK to charge shipping to CC</t>
  </si>
  <si>
    <t>Gabel</t>
  </si>
  <si>
    <t>Platt Electric</t>
  </si>
  <si>
    <t>glenn.gabel@platt.com</t>
  </si>
  <si>
    <t>Springfield</t>
  </si>
  <si>
    <t xml:space="preserve">Credit Card  </t>
  </si>
  <si>
    <t>McDonald</t>
  </si>
  <si>
    <t>World Micro</t>
  </si>
  <si>
    <t>dmcdonald@worldmicro.com</t>
  </si>
  <si>
    <t>NEW Credit Card - Praful approved no CC fee.</t>
  </si>
  <si>
    <t>V24-2085</t>
  </si>
  <si>
    <t>P001957895</t>
  </si>
  <si>
    <t>Law</t>
  </si>
  <si>
    <t>Grounded Engineering</t>
  </si>
  <si>
    <t>jeremy.law@groundedengineeringllc.com</t>
  </si>
  <si>
    <t>Connor</t>
  </si>
  <si>
    <t>Flanigan</t>
  </si>
  <si>
    <t xml:space="preserve">connorf@caincarlsbad.com </t>
  </si>
  <si>
    <t>Carlsbad</t>
  </si>
  <si>
    <t>0956-CF930257S</t>
  </si>
  <si>
    <t>UPS Ground v8885v</t>
  </si>
  <si>
    <t>NEW Credit Card/wire</t>
  </si>
  <si>
    <t>Cervantes</t>
  </si>
  <si>
    <t>5565-410053</t>
  </si>
  <si>
    <t>P001989530</t>
  </si>
  <si>
    <t>Fuller</t>
  </si>
  <si>
    <t>chase.fuller@summit.com</t>
  </si>
  <si>
    <t>Brown Security Systems</t>
  </si>
  <si>
    <t>bob@brownsecuritysystems.com</t>
  </si>
  <si>
    <t>Brookhaven</t>
  </si>
  <si>
    <t>Brown 9424 (GP)</t>
  </si>
  <si>
    <t>3%/ship NDA/1 week turn</t>
  </si>
  <si>
    <t>1 week turn, our shipping acct NDA</t>
  </si>
  <si>
    <t>Daniell</t>
  </si>
  <si>
    <t>Voyten</t>
  </si>
  <si>
    <t>danielle@voyten.com</t>
  </si>
  <si>
    <t>PJ</t>
  </si>
  <si>
    <t>Reckston</t>
  </si>
  <si>
    <t>Golden Palm</t>
  </si>
  <si>
    <t>reckston@goldenpalm.com.kw</t>
  </si>
  <si>
    <t>CAM Integrated</t>
  </si>
  <si>
    <t>iperez@camintegrated.com</t>
  </si>
  <si>
    <t xml:space="preserve">SBUFFIE@Ra.rockwell.com </t>
  </si>
  <si>
    <t>Kamil</t>
  </si>
  <si>
    <t>Bdiwi</t>
  </si>
  <si>
    <t>Ipexna</t>
  </si>
  <si>
    <t>kamil.bdiwi@ipexna.com</t>
  </si>
  <si>
    <t>St-Laurent</t>
  </si>
  <si>
    <t>12/24/245</t>
  </si>
  <si>
    <t>Marie</t>
  </si>
  <si>
    <t>Turcotte</t>
  </si>
  <si>
    <t>marie.turcotte@greenfield.com</t>
  </si>
  <si>
    <t>Varennes, Quebec</t>
  </si>
  <si>
    <t>V24-2450</t>
  </si>
  <si>
    <t>Burbage</t>
  </si>
  <si>
    <t>david.burbage@flexenergy.com</t>
  </si>
  <si>
    <t>CO</t>
  </si>
  <si>
    <t>PR00001461</t>
  </si>
  <si>
    <t>PIETRUSZEWSKI</t>
  </si>
  <si>
    <t>jpietruszewski@vanmeterinc.com</t>
  </si>
  <si>
    <t>new cost no CC fee</t>
  </si>
  <si>
    <t>Martinez</t>
  </si>
  <si>
    <t>Caesar</t>
  </si>
  <si>
    <t>575-736-0854</t>
  </si>
  <si>
    <t>csanchez@deserthillsinc.com</t>
  </si>
  <si>
    <t>Artesia</t>
  </si>
  <si>
    <t>P1067244</t>
  </si>
  <si>
    <t>Sebastian</t>
  </si>
  <si>
    <t>Surugiu</t>
  </si>
  <si>
    <t>HF Sinclair Refinery</t>
  </si>
  <si>
    <t>sebastian.surugiu@hfsinclair.com</t>
  </si>
  <si>
    <t>Anacortes</t>
  </si>
  <si>
    <t>Email1018/24</t>
  </si>
  <si>
    <t>Saw video on website/Youtube</t>
  </si>
  <si>
    <t>Dunrick</t>
  </si>
  <si>
    <t>Yetts</t>
  </si>
  <si>
    <t>dunrick.yetts@hfsinclair.com</t>
  </si>
  <si>
    <t>Tulda</t>
  </si>
  <si>
    <t>HFS111420</t>
  </si>
  <si>
    <t>V24-2692</t>
  </si>
  <si>
    <t>PQSI 8 pin base</t>
  </si>
  <si>
    <t>Hemanth</t>
  </si>
  <si>
    <t>KMML</t>
  </si>
  <si>
    <t>India</t>
  </si>
  <si>
    <t>04762651222/301</t>
  </si>
  <si>
    <t>dmele@kmml.com</t>
  </si>
  <si>
    <t>Kerala, India - 691583</t>
  </si>
  <si>
    <t>India - New</t>
  </si>
  <si>
    <t>Requested</t>
  </si>
  <si>
    <t>Kassidy</t>
  </si>
  <si>
    <t>Epic Industrial</t>
  </si>
  <si>
    <t>kassidy.wilkerson@epicindustrial.co</t>
  </si>
  <si>
    <t>JE-24152-ETN-11-27</t>
  </si>
  <si>
    <t>CC - New</t>
  </si>
  <si>
    <t>CHECK</t>
  </si>
  <si>
    <t>Credit ref did not check out - Prepayment befor shipping</t>
  </si>
  <si>
    <t>8126316 OC/HPO0076372</t>
  </si>
  <si>
    <t>Was missing OOC fee</t>
  </si>
  <si>
    <t>collins</t>
  </si>
  <si>
    <t>Nucor</t>
  </si>
  <si>
    <t>carl.collins@nucor.com</t>
  </si>
  <si>
    <t>AR</t>
  </si>
  <si>
    <t>McGee</t>
  </si>
  <si>
    <t>kim.mcgee@flexenergy.com</t>
  </si>
  <si>
    <t>PRC0000038</t>
  </si>
  <si>
    <t>CHINA</t>
  </si>
  <si>
    <t xml:space="preserve">Morris </t>
  </si>
  <si>
    <t>lyondellbasell</t>
  </si>
  <si>
    <t>mike.morris@lyondellbasell.com</t>
  </si>
  <si>
    <t>Edison</t>
  </si>
  <si>
    <t>Emma</t>
  </si>
  <si>
    <t>Tang</t>
  </si>
  <si>
    <t>AM Industrievertrieb GmbH</t>
  </si>
  <si>
    <t>+49 (0) 201 / 8606 343</t>
  </si>
  <si>
    <t>einkauf10@am-industrievertrieb.com</t>
  </si>
  <si>
    <t>6705-090032</t>
  </si>
  <si>
    <t>Need to remove NET 10 2% from PO</t>
  </si>
  <si>
    <t>roswell</t>
  </si>
  <si>
    <t>ga</t>
  </si>
  <si>
    <t>P J</t>
  </si>
  <si>
    <t>skanuch@wescodist.com</t>
  </si>
  <si>
    <t>5565-441111</t>
  </si>
  <si>
    <t>Danielle</t>
  </si>
  <si>
    <t>Sheets</t>
  </si>
  <si>
    <t>bsheets@crawfordelectricsupply.com</t>
  </si>
  <si>
    <t>Company Name</t>
  </si>
  <si>
    <t>Date of form</t>
  </si>
  <si>
    <t>Notes</t>
  </si>
  <si>
    <t>NOT EXEMPT</t>
  </si>
  <si>
    <t>CHAPT 11</t>
  </si>
  <si>
    <t>Single PO 5/28/2024</t>
  </si>
  <si>
    <t>SREA24-928755</t>
  </si>
  <si>
    <t>Cryo America</t>
  </si>
  <si>
    <t>New (2nd) form 10/4/2023</t>
  </si>
  <si>
    <t>Per Max - items used in a lab</t>
  </si>
  <si>
    <t>Galaxy Electronics</t>
  </si>
  <si>
    <t xml:space="preserve"> GST/HST registration</t>
  </si>
  <si>
    <t>Use portal</t>
  </si>
  <si>
    <t>Keller Technology Corporation</t>
  </si>
  <si>
    <t>Croatia</t>
  </si>
  <si>
    <t>Protronics</t>
  </si>
  <si>
    <t>PVS Sensors</t>
  </si>
  <si>
    <t>Costa Rica</t>
  </si>
  <si>
    <t>Confirmed via phone</t>
  </si>
  <si>
    <t>Southern Electronics</t>
  </si>
  <si>
    <t>Month</t>
  </si>
  <si>
    <t>Received RFQ's</t>
  </si>
  <si>
    <t>Sent RFQ's</t>
  </si>
  <si>
    <t>Bookings</t>
  </si>
  <si>
    <t>Win Rate</t>
  </si>
  <si>
    <t>Lost RFQ's</t>
  </si>
  <si>
    <t>New RFQ's</t>
  </si>
  <si>
    <t>% New RFQ</t>
  </si>
  <si>
    <t>Purchased Total ($)</t>
  </si>
  <si>
    <t>Purchased Total (%)</t>
  </si>
  <si>
    <t>YTD Sales ($)</t>
  </si>
  <si>
    <t>YTD Sales (%)</t>
  </si>
  <si>
    <t>Social Media Integrated Campaign</t>
  </si>
  <si>
    <t>Phone Calls</t>
  </si>
  <si>
    <t>Trade Shows</t>
  </si>
  <si>
    <t>Referrals</t>
  </si>
  <si>
    <t>Quotes Pending ACI</t>
  </si>
  <si>
    <t>Quotes Pending Customer</t>
  </si>
  <si>
    <t>Quotes Lost ($)</t>
  </si>
  <si>
    <t>Include?</t>
  </si>
  <si>
    <t>January</t>
  </si>
  <si>
    <t>February</t>
  </si>
  <si>
    <t>March</t>
  </si>
  <si>
    <t>Price of Purchased Jobs Not Shipped (Charged)</t>
  </si>
  <si>
    <t>June</t>
  </si>
  <si>
    <t>July</t>
  </si>
  <si>
    <t>October</t>
  </si>
  <si>
    <t>November</t>
  </si>
  <si>
    <t>December</t>
  </si>
  <si>
    <t xml:space="preserve">                </t>
  </si>
  <si>
    <t>Year</t>
  </si>
  <si>
    <t>Week</t>
  </si>
  <si>
    <t>QUOTE PROCESS</t>
  </si>
  <si>
    <t>New Standard</t>
  </si>
  <si>
    <t>Board</t>
  </si>
  <si>
    <t>Labor</t>
  </si>
  <si>
    <t>label for job</t>
  </si>
  <si>
    <t>New Customer</t>
  </si>
  <si>
    <t>Old Std (can do)</t>
  </si>
  <si>
    <t>x</t>
  </si>
  <si>
    <t>5 (4)</t>
  </si>
  <si>
    <t>4</t>
  </si>
  <si>
    <t>3-4</t>
  </si>
  <si>
    <t>3 (2)</t>
  </si>
  <si>
    <t>Parts Consignment</t>
  </si>
  <si>
    <t>4-6</t>
  </si>
  <si>
    <t>4 (3)</t>
  </si>
  <si>
    <t>2-3</t>
  </si>
  <si>
    <t>2 (1)</t>
  </si>
  <si>
    <t>Reverse Engineering/Design</t>
  </si>
  <si>
    <t>Other - basic items, repair/rework, setup, miscellaneous, engineering/design, antennas, flex, kitting, combo quotes</t>
  </si>
  <si>
    <t>Referral - log of a referral (not a quote)</t>
  </si>
  <si>
    <t>Reverse Referral-when someone refers a client to us</t>
  </si>
  <si>
    <t>Placeholder - simply here as a follow up placeholder</t>
  </si>
  <si>
    <t>Column1</t>
  </si>
  <si>
    <t>On Web</t>
  </si>
  <si>
    <t>SEO/Google</t>
  </si>
  <si>
    <t>Existing Cust.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</si>
</sst>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_(* \(#,##0.00\);_(* &quot;-&quot;??_);_(@_)"/>
    <numFmt numFmtId="164" formatCode="m/d/yy;@"/>
    <numFmt numFmtId="165" formatCode="[&lt;=9999999]###\-####;###\-###\-####"/>
    <numFmt numFmtId="166" formatCode="_(* #,##0_);_(* \(#,##0\);_(* &quot;-&quot;??_);_(@_)"/>
    <numFmt numFmtId="168" formatCode="m/dd/yy;@"/>
    <numFmt numFmtId="169" formatCode="[$-1009]d\-mmm\-yy;@"/>
    <numFmt numFmtId="170" formatCode="[$-409]d\-mmm\-yy;@"/>
    <numFmt numFmtId="171" formatCode="mm/dd/yy;@"/>
    <numFmt numFmtId="172" formatCode="&quot;$&quot;#,##0.00"/>
    <numFmt numFmtId="173" formatCode="&quot;$&quot;#,##0"/>
  </numFmts>
  <fonts count="49" x14ac:knownFonts="1">
    <font>
      <sz val="11"/>
      <color theme="1"/>
      <name val="Calibri"/>
      <family val="2"/>
      <scheme val="minor"/>
    </font>
    <font>
      <sz val="11"/>
      <color theme="1"/>
      <name val="Calibri"/>
      <family val="2"/>
      <scheme val="minor"/>
    </font>
    <font>
      <u/>
      <sz val="11"/>
      <color theme="10"/>
      <name val="Calibri"/>
      <family val="2"/>
    </font>
    <font>
      <u/>
      <sz val="11"/>
      <name val="Calibri"/>
      <family val="2"/>
    </font>
    <font>
      <b/>
      <sz val="10"/>
      <color rgb="FF000000"/>
      <name val="Calibri"/>
      <family val="2"/>
    </font>
    <font>
      <sz val="10"/>
      <color rgb="FF000000"/>
      <name val="Calibri"/>
      <family val="2"/>
    </font>
    <font>
      <sz val="11"/>
      <color theme="1"/>
      <name val="Calibri"/>
      <family val="2"/>
    </font>
    <font>
      <sz val="10"/>
      <name val="Calibri"/>
      <family val="2"/>
    </font>
    <font>
      <b/>
      <sz val="10"/>
      <name val="Calibri"/>
      <family val="2"/>
    </font>
    <font>
      <b/>
      <sz val="9"/>
      <color rgb="FF000000"/>
      <name val="Tahoma"/>
      <family val="2"/>
    </font>
    <font>
      <sz val="9"/>
      <color rgb="FF000000"/>
      <name val="Tahoma"/>
      <family val="2"/>
    </font>
    <font>
      <u/>
      <sz val="11"/>
      <color rgb="FF000000"/>
      <name val="Calibri"/>
      <family val="2"/>
    </font>
    <font>
      <b/>
      <sz val="11"/>
      <color rgb="FF000000"/>
      <name val="Calibri"/>
      <family val="2"/>
    </font>
    <font>
      <sz val="11"/>
      <name val="Calibri"/>
      <family val="2"/>
      <scheme val="minor"/>
    </font>
    <font>
      <sz val="10"/>
      <color theme="1"/>
      <name val="Calibri"/>
      <family val="2"/>
    </font>
    <font>
      <sz val="9"/>
      <color indexed="81"/>
      <name val="Tahoma"/>
      <family val="2"/>
    </font>
    <font>
      <sz val="10"/>
      <color theme="1"/>
      <name val="Arial"/>
      <family val="2"/>
    </font>
    <font>
      <sz val="8"/>
      <name val="Calibri"/>
      <family val="2"/>
      <scheme val="minor"/>
    </font>
    <font>
      <b/>
      <sz val="9"/>
      <color indexed="81"/>
      <name val="Tahoma"/>
      <family val="2"/>
    </font>
    <font>
      <sz val="10"/>
      <color rgb="FFFF0000"/>
      <name val="Calibri"/>
      <family val="2"/>
    </font>
    <font>
      <sz val="10"/>
      <color rgb="FF000000"/>
      <name val="Arial"/>
      <family val="2"/>
    </font>
    <font>
      <sz val="10"/>
      <name val="Calibri"/>
      <family val="2"/>
      <scheme val="minor"/>
    </font>
    <font>
      <sz val="11"/>
      <color rgb="FF000000"/>
      <name val="Calibri"/>
      <family val="2"/>
      <scheme val="minor"/>
    </font>
    <font>
      <sz val="12"/>
      <color theme="1"/>
      <name val="Calibri"/>
      <family val="2"/>
    </font>
    <font>
      <sz val="12"/>
      <color theme="1"/>
      <name val="Calibri"/>
      <family val="2"/>
      <scheme val="minor"/>
    </font>
    <font>
      <sz val="11"/>
      <color theme="1"/>
      <name val="Calibri Light"/>
      <family val="2"/>
    </font>
    <font>
      <b/>
      <sz val="11"/>
      <color theme="1"/>
      <name val="Calibri"/>
      <family val="2"/>
      <scheme val="minor"/>
    </font>
    <font>
      <b/>
      <sz val="16"/>
      <color theme="1"/>
      <name val="Calibri"/>
      <family val="2"/>
      <scheme val="minor"/>
    </font>
    <font>
      <b/>
      <sz val="10"/>
      <color theme="1"/>
      <name val="Calibri"/>
      <family val="2"/>
    </font>
    <font>
      <sz val="8"/>
      <color indexed="81"/>
      <name val="Tahoma"/>
      <family val="2"/>
    </font>
    <font>
      <sz val="11"/>
      <name val="Calibri"/>
      <family val="2"/>
    </font>
    <font>
      <sz val="11"/>
      <color rgb="FFFF0000"/>
      <name val="Calibri"/>
      <family val="2"/>
      <scheme val="minor"/>
    </font>
    <font>
      <sz val="10"/>
      <color theme="1"/>
      <name val="Calibri"/>
      <family val="2"/>
      <scheme val="minor"/>
    </font>
    <font>
      <sz val="10"/>
      <color rgb="FF50575E"/>
      <name val="Segoe UI"/>
      <family val="2"/>
    </font>
    <font>
      <sz val="11"/>
      <color theme="1"/>
      <name val="Segoe UI"/>
      <family val="2"/>
    </font>
    <font>
      <sz val="12"/>
      <color theme="1"/>
      <name val="Aptos"/>
      <family val="2"/>
    </font>
    <font>
      <sz val="11"/>
      <color rgb="FF000000"/>
      <name val="Aptos"/>
      <family val="2"/>
    </font>
    <font>
      <sz val="10"/>
      <color rgb="FFFF0000"/>
      <name val="Calibri"/>
      <family val="2"/>
      <scheme val="minor"/>
    </font>
    <font>
      <b/>
      <sz val="10"/>
      <color rgb="FF000000"/>
      <name val="Calibri"/>
      <family val="2"/>
      <scheme val="minor"/>
    </font>
    <font>
      <sz val="10"/>
      <color rgb="FF000000"/>
      <name val="Calibri"/>
      <family val="2"/>
      <scheme val="minor"/>
    </font>
    <font>
      <b/>
      <sz val="10"/>
      <name val="Calibri"/>
      <family val="2"/>
      <scheme val="minor"/>
    </font>
    <font>
      <u/>
      <sz val="10"/>
      <name val="Calibri"/>
      <family val="2"/>
      <scheme val="minor"/>
    </font>
    <font>
      <u/>
      <sz val="10"/>
      <color theme="10"/>
      <name val="Calibri"/>
      <family val="2"/>
      <scheme val="minor"/>
    </font>
    <font>
      <b/>
      <sz val="10"/>
      <color rgb="FFFF0000"/>
      <name val="Calibri"/>
      <family val="2"/>
      <scheme val="minor"/>
    </font>
    <font>
      <sz val="24"/>
      <color rgb="FFFF0000"/>
      <name val="Calibri"/>
      <family val="2"/>
      <scheme val="minor"/>
    </font>
    <font>
      <sz val="9"/>
      <color rgb="FF242424"/>
      <name val="Aptos Narrow"/>
      <family val="2"/>
    </font>
    <font>
      <sz val="10"/>
      <name val="Calibri"/>
      <family val="2"/>
    </font>
    <font>
      <u/>
      <sz val="10"/>
      <color theme="10"/>
      <name val="Calibri"/>
      <family val="2"/>
    </font>
    <font>
      <sz val="10"/>
      <color theme="1"/>
      <name val="Calibri"/>
      <family val="2"/>
    </font>
  </fonts>
  <fills count="19">
    <fill>
      <patternFill patternType="none"/>
    </fill>
    <fill>
      <patternFill patternType="gray125"/>
    </fill>
    <fill>
      <patternFill patternType="solid">
        <fgColor rgb="FF92D050"/>
        <bgColor indexed="64"/>
      </patternFill>
    </fill>
    <fill>
      <patternFill patternType="solid">
        <fgColor rgb="FFE4DFEC"/>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C29FE1"/>
        <bgColor indexed="64"/>
      </patternFill>
    </fill>
    <fill>
      <patternFill patternType="solid">
        <fgColor rgb="FFFFCCCC"/>
        <bgColor indexed="64"/>
      </patternFill>
    </fill>
    <fill>
      <patternFill patternType="solid">
        <fgColor rgb="FFFFC000"/>
        <bgColor indexed="64"/>
      </patternFill>
    </fill>
    <fill>
      <patternFill patternType="solid">
        <fgColor rgb="FF99CCFF"/>
        <bgColor indexed="64"/>
      </patternFill>
    </fill>
    <fill>
      <patternFill patternType="solid">
        <fgColor rgb="FF78CED2"/>
        <bgColor indexed="64"/>
      </patternFill>
    </fill>
    <fill>
      <patternFill patternType="solid">
        <fgColor rgb="FFCC9900"/>
        <bgColor indexed="64"/>
      </patternFill>
    </fill>
    <fill>
      <patternFill patternType="solid">
        <fgColor indexed="13"/>
        <bgColor indexed="64"/>
      </patternFill>
    </fill>
    <fill>
      <patternFill patternType="solid">
        <fgColor theme="0" tint="-0.34998626667073579"/>
        <bgColor indexed="64"/>
      </patternFill>
    </fill>
    <fill>
      <patternFill patternType="solid">
        <fgColor rgb="FFCCFFFF"/>
        <bgColor indexed="64"/>
      </patternFill>
    </fill>
    <fill>
      <patternFill patternType="solid">
        <fgColor theme="2" tint="-9.9978637043366805E-2"/>
        <bgColor indexed="64"/>
      </patternFill>
    </fill>
    <fill>
      <patternFill patternType="solid">
        <fgColor rgb="FF66FFFF"/>
        <bgColor indexed="64"/>
      </patternFill>
    </fill>
    <fill>
      <patternFill patternType="solid">
        <fgColor theme="6" tint="0.59999389629810485"/>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383">
    <xf numFmtId="0" fontId="0" fillId="0" borderId="0" xfId="0"/>
    <xf numFmtId="0" fontId="6" fillId="0" borderId="0" xfId="0" applyFont="1"/>
    <xf numFmtId="0" fontId="11" fillId="0" borderId="0" xfId="0" applyFont="1"/>
    <xf numFmtId="0" fontId="12" fillId="0" borderId="0" xfId="0" applyFont="1"/>
    <xf numFmtId="0" fontId="12" fillId="0" borderId="0" xfId="0" quotePrefix="1" applyFont="1" applyAlignment="1">
      <alignment horizontal="center"/>
    </xf>
    <xf numFmtId="0" fontId="12" fillId="0" borderId="0" xfId="0" applyFont="1" applyAlignment="1">
      <alignment horizontal="center"/>
    </xf>
    <xf numFmtId="16" fontId="6" fillId="0" borderId="0" xfId="0" quotePrefix="1" applyNumberFormat="1" applyFont="1"/>
    <xf numFmtId="16" fontId="12" fillId="0" borderId="0" xfId="0" quotePrefix="1" applyNumberFormat="1" applyFont="1" applyAlignment="1">
      <alignment horizontal="center"/>
    </xf>
    <xf numFmtId="0" fontId="6" fillId="0" borderId="0" xfId="0" quotePrefix="1" applyFont="1" applyAlignment="1">
      <alignment horizontal="center"/>
    </xf>
    <xf numFmtId="0" fontId="6" fillId="0" borderId="0" xfId="0" applyFont="1" applyAlignment="1">
      <alignment horizontal="center"/>
    </xf>
    <xf numFmtId="0" fontId="6" fillId="0" borderId="3" xfId="0" applyFont="1" applyBorder="1"/>
    <xf numFmtId="0" fontId="0" fillId="0" borderId="4" xfId="0" applyBorder="1"/>
    <xf numFmtId="14" fontId="0" fillId="0" borderId="4" xfId="0" applyNumberFormat="1" applyBorder="1"/>
    <xf numFmtId="0" fontId="0" fillId="0" borderId="4" xfId="0" applyBorder="1" applyAlignment="1">
      <alignment horizontal="left"/>
    </xf>
    <xf numFmtId="165" fontId="5" fillId="2" borderId="2" xfId="0" applyNumberFormat="1" applyFont="1" applyFill="1" applyBorder="1" applyAlignment="1">
      <alignment horizontal="center"/>
    </xf>
    <xf numFmtId="165" fontId="5" fillId="0" borderId="2" xfId="0" applyNumberFormat="1" applyFont="1" applyBorder="1" applyAlignment="1">
      <alignment horizontal="center"/>
    </xf>
    <xf numFmtId="165" fontId="7" fillId="2" borderId="2" xfId="0" applyNumberFormat="1" applyFont="1" applyFill="1" applyBorder="1" applyAlignment="1">
      <alignment horizontal="center"/>
    </xf>
    <xf numFmtId="165" fontId="7" fillId="0" borderId="2" xfId="0" applyNumberFormat="1" applyFont="1" applyBorder="1" applyAlignment="1">
      <alignment horizontal="center"/>
    </xf>
    <xf numFmtId="0" fontId="16" fillId="2" borderId="2" xfId="0" applyFont="1" applyFill="1" applyBorder="1"/>
    <xf numFmtId="0" fontId="2" fillId="2" borderId="2" xfId="2" applyFill="1" applyBorder="1" applyAlignment="1" applyProtection="1"/>
    <xf numFmtId="0" fontId="21" fillId="2" borderId="2" xfId="0" applyFont="1" applyFill="1" applyBorder="1" applyAlignment="1">
      <alignment horizontal="center"/>
    </xf>
    <xf numFmtId="0" fontId="2" fillId="0" borderId="2" xfId="2" applyBorder="1" applyAlignment="1" applyProtection="1"/>
    <xf numFmtId="0" fontId="20" fillId="0" borderId="2" xfId="0" applyFont="1" applyBorder="1"/>
    <xf numFmtId="0" fontId="0" fillId="2" borderId="1" xfId="0" applyFill="1" applyBorder="1"/>
    <xf numFmtId="14" fontId="0" fillId="2" borderId="2" xfId="0" applyNumberFormat="1" applyFill="1" applyBorder="1"/>
    <xf numFmtId="0" fontId="0" fillId="2" borderId="2" xfId="0" applyFill="1" applyBorder="1"/>
    <xf numFmtId="0" fontId="0" fillId="2" borderId="2" xfId="0" applyFill="1" applyBorder="1" applyAlignment="1">
      <alignment horizontal="left"/>
    </xf>
    <xf numFmtId="0" fontId="0" fillId="2" borderId="2" xfId="0" applyFill="1" applyBorder="1" applyAlignment="1">
      <alignment wrapText="1"/>
    </xf>
    <xf numFmtId="0" fontId="0" fillId="0" borderId="1" xfId="0" applyBorder="1"/>
    <xf numFmtId="14" fontId="0" fillId="0" borderId="2" xfId="0" applyNumberFormat="1" applyBorder="1"/>
    <xf numFmtId="0" fontId="0" fillId="0" borderId="2" xfId="0" applyBorder="1"/>
    <xf numFmtId="0" fontId="0" fillId="0" borderId="2" xfId="0" applyBorder="1" applyAlignment="1">
      <alignment horizontal="left"/>
    </xf>
    <xf numFmtId="9" fontId="0" fillId="2" borderId="2" xfId="0" applyNumberFormat="1" applyFill="1" applyBorder="1"/>
    <xf numFmtId="0" fontId="0" fillId="2" borderId="2" xfId="0" applyFill="1" applyBorder="1" applyAlignment="1">
      <alignment vertical="center"/>
    </xf>
    <xf numFmtId="0" fontId="0" fillId="0" borderId="2" xfId="0" applyBorder="1" applyAlignment="1">
      <alignment vertical="center"/>
    </xf>
    <xf numFmtId="0" fontId="2" fillId="0" borderId="2" xfId="2" applyFill="1" applyBorder="1" applyAlignment="1" applyProtection="1"/>
    <xf numFmtId="0" fontId="13" fillId="2" borderId="1" xfId="0" applyFont="1" applyFill="1" applyBorder="1"/>
    <xf numFmtId="14" fontId="13" fillId="2" borderId="2" xfId="0" applyNumberFormat="1" applyFont="1" applyFill="1" applyBorder="1"/>
    <xf numFmtId="0" fontId="13" fillId="2" borderId="2" xfId="0" applyFont="1" applyFill="1" applyBorder="1"/>
    <xf numFmtId="0" fontId="13" fillId="2" borderId="2" xfId="0" applyFont="1" applyFill="1" applyBorder="1" applyAlignment="1">
      <alignment horizontal="left"/>
    </xf>
    <xf numFmtId="0" fontId="13" fillId="0" borderId="1" xfId="0" applyFont="1" applyBorder="1"/>
    <xf numFmtId="14" fontId="13" fillId="0" borderId="2" xfId="0" applyNumberFormat="1" applyFont="1" applyBorder="1"/>
    <xf numFmtId="0" fontId="13" fillId="0" borderId="2" xfId="0" applyFont="1" applyBorder="1"/>
    <xf numFmtId="0" fontId="13" fillId="0" borderId="2" xfId="0" applyFont="1" applyBorder="1" applyAlignment="1">
      <alignment horizontal="left"/>
    </xf>
    <xf numFmtId="0" fontId="13" fillId="2" borderId="2" xfId="0" applyFont="1" applyFill="1" applyBorder="1" applyAlignment="1">
      <alignment vertical="center"/>
    </xf>
    <xf numFmtId="0" fontId="3" fillId="2" borderId="2" xfId="2" applyFont="1" applyFill="1" applyBorder="1" applyAlignment="1" applyProtection="1"/>
    <xf numFmtId="9" fontId="0" fillId="0" borderId="2" xfId="0" applyNumberFormat="1" applyBorder="1"/>
    <xf numFmtId="0" fontId="22" fillId="2" borderId="2" xfId="0" applyFont="1" applyFill="1" applyBorder="1"/>
    <xf numFmtId="0" fontId="23" fillId="2" borderId="2" xfId="0" applyFont="1" applyFill="1" applyBorder="1" applyAlignment="1">
      <alignment vertical="center"/>
    </xf>
    <xf numFmtId="0" fontId="24" fillId="2" borderId="2" xfId="0" applyFont="1" applyFill="1" applyBorder="1"/>
    <xf numFmtId="0" fontId="0" fillId="0" borderId="2" xfId="0" quotePrefix="1" applyBorder="1"/>
    <xf numFmtId="164" fontId="4" fillId="7" borderId="4" xfId="0" applyNumberFormat="1" applyFont="1" applyFill="1" applyBorder="1" applyAlignment="1">
      <alignment horizontal="center" vertical="top" wrapText="1"/>
    </xf>
    <xf numFmtId="14" fontId="4" fillId="7" borderId="4" xfId="0" applyNumberFormat="1" applyFont="1" applyFill="1" applyBorder="1" applyAlignment="1">
      <alignment horizontal="center" vertical="top" wrapText="1"/>
    </xf>
    <xf numFmtId="0" fontId="4" fillId="7" borderId="4" xfId="0" applyFont="1" applyFill="1" applyBorder="1" applyAlignment="1">
      <alignment horizontal="center" vertical="top" wrapText="1"/>
    </xf>
    <xf numFmtId="165" fontId="4" fillId="7" borderId="4" xfId="0" applyNumberFormat="1" applyFont="1" applyFill="1" applyBorder="1" applyAlignment="1">
      <alignment horizontal="center" vertical="top" wrapText="1"/>
    </xf>
    <xf numFmtId="14" fontId="8" fillId="7" borderId="4" xfId="0" applyNumberFormat="1" applyFont="1" applyFill="1" applyBorder="1" applyAlignment="1">
      <alignment horizontal="center" vertical="top" wrapText="1"/>
    </xf>
    <xf numFmtId="3" fontId="8" fillId="7" borderId="4" xfId="1" applyNumberFormat="1" applyFont="1" applyFill="1" applyBorder="1" applyAlignment="1">
      <alignment horizontal="center" vertical="top" wrapText="1"/>
    </xf>
    <xf numFmtId="166" fontId="8" fillId="7" borderId="4" xfId="1" applyNumberFormat="1" applyFont="1" applyFill="1" applyBorder="1" applyAlignment="1">
      <alignment horizontal="center" vertical="top" wrapText="1"/>
    </xf>
    <xf numFmtId="0" fontId="4" fillId="7" borderId="4" xfId="0" applyFont="1" applyFill="1" applyBorder="1" applyAlignment="1">
      <alignment horizontal="left" vertical="top"/>
    </xf>
    <xf numFmtId="164" fontId="8" fillId="7" borderId="4" xfId="0" applyNumberFormat="1" applyFont="1" applyFill="1" applyBorder="1" applyAlignment="1">
      <alignment horizontal="center" vertical="top" wrapText="1"/>
    </xf>
    <xf numFmtId="0" fontId="0" fillId="7" borderId="4" xfId="0" applyFill="1" applyBorder="1" applyAlignment="1">
      <alignment vertical="top"/>
    </xf>
    <xf numFmtId="0" fontId="0" fillId="0" borderId="6" xfId="0" applyBorder="1"/>
    <xf numFmtId="14" fontId="0" fillId="0" borderId="3" xfId="0" applyNumberFormat="1" applyBorder="1"/>
    <xf numFmtId="0" fontId="0" fillId="0" borderId="3" xfId="0" applyBorder="1"/>
    <xf numFmtId="165" fontId="5" fillId="0" borderId="3" xfId="0" applyNumberFormat="1" applyFont="1" applyBorder="1" applyAlignment="1">
      <alignment horizontal="center"/>
    </xf>
    <xf numFmtId="0" fontId="0" fillId="0" borderId="3" xfId="0" quotePrefix="1" applyBorder="1"/>
    <xf numFmtId="0" fontId="0" fillId="0" borderId="3" xfId="0" applyBorder="1" applyAlignment="1">
      <alignment horizontal="left"/>
    </xf>
    <xf numFmtId="0" fontId="20" fillId="2" borderId="2" xfId="0" applyFont="1" applyFill="1" applyBorder="1"/>
    <xf numFmtId="14" fontId="0" fillId="2" borderId="2" xfId="1" applyNumberFormat="1" applyFont="1" applyFill="1" applyBorder="1"/>
    <xf numFmtId="9" fontId="0" fillId="2" borderId="2" xfId="0" quotePrefix="1" applyNumberFormat="1" applyFill="1" applyBorder="1"/>
    <xf numFmtId="0" fontId="26"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0" fontId="0" fillId="6" borderId="0" xfId="0" applyFill="1" applyAlignment="1">
      <alignment horizontal="center"/>
    </xf>
    <xf numFmtId="0" fontId="27" fillId="0" borderId="0" xfId="0" applyFont="1" applyAlignment="1">
      <alignment horizontal="center"/>
    </xf>
    <xf numFmtId="0" fontId="0" fillId="6" borderId="4" xfId="0" applyFill="1" applyBorder="1"/>
    <xf numFmtId="14" fontId="0" fillId="6" borderId="4" xfId="0" applyNumberFormat="1" applyFill="1" applyBorder="1"/>
    <xf numFmtId="0" fontId="0" fillId="6" borderId="4" xfId="0" applyFill="1" applyBorder="1" applyAlignment="1">
      <alignment horizontal="left"/>
    </xf>
    <xf numFmtId="170" fontId="4" fillId="7" borderId="4" xfId="0" applyNumberFormat="1" applyFont="1" applyFill="1" applyBorder="1" applyAlignment="1">
      <alignment horizontal="center" vertical="top" wrapText="1"/>
    </xf>
    <xf numFmtId="170" fontId="0" fillId="2" borderId="2" xfId="0" applyNumberFormat="1" applyFill="1" applyBorder="1" applyAlignment="1">
      <alignment horizontal="center"/>
    </xf>
    <xf numFmtId="170" fontId="0" fillId="0" borderId="2" xfId="0" applyNumberFormat="1" applyBorder="1" applyAlignment="1">
      <alignment horizontal="center"/>
    </xf>
    <xf numFmtId="170" fontId="0" fillId="2" borderId="2" xfId="0" applyNumberFormat="1" applyFill="1" applyBorder="1" applyAlignment="1">
      <alignment horizontal="center" wrapText="1"/>
    </xf>
    <xf numFmtId="170" fontId="0" fillId="0" borderId="2" xfId="0" applyNumberFormat="1" applyBorder="1" applyAlignment="1">
      <alignment horizontal="center" wrapText="1"/>
    </xf>
    <xf numFmtId="170" fontId="16" fillId="2" borderId="2" xfId="0" applyNumberFormat="1" applyFont="1" applyFill="1" applyBorder="1" applyAlignment="1">
      <alignment horizontal="center"/>
    </xf>
    <xf numFmtId="170" fontId="0" fillId="2" borderId="2" xfId="0" applyNumberFormat="1" applyFill="1" applyBorder="1" applyAlignment="1">
      <alignment horizontal="center" vertical="center"/>
    </xf>
    <xf numFmtId="170" fontId="0" fillId="0" borderId="2" xfId="0" applyNumberFormat="1" applyBorder="1" applyAlignment="1">
      <alignment horizontal="center" vertical="center"/>
    </xf>
    <xf numFmtId="170" fontId="13" fillId="2" borderId="2" xfId="0" applyNumberFormat="1" applyFont="1" applyFill="1" applyBorder="1" applyAlignment="1">
      <alignment horizontal="center"/>
    </xf>
    <xf numFmtId="170" fontId="13" fillId="0" borderId="2" xfId="0" applyNumberFormat="1" applyFont="1" applyBorder="1" applyAlignment="1">
      <alignment horizontal="center"/>
    </xf>
    <xf numFmtId="170" fontId="13" fillId="2" borderId="2" xfId="0" applyNumberFormat="1" applyFont="1" applyFill="1" applyBorder="1" applyAlignment="1">
      <alignment horizontal="center" vertical="center"/>
    </xf>
    <xf numFmtId="170" fontId="23" fillId="2" borderId="2" xfId="0" applyNumberFormat="1" applyFont="1" applyFill="1" applyBorder="1" applyAlignment="1">
      <alignment horizontal="center" vertical="center"/>
    </xf>
    <xf numFmtId="170" fontId="0" fillId="0" borderId="3" xfId="0" applyNumberFormat="1" applyBorder="1" applyAlignment="1">
      <alignment horizontal="center"/>
    </xf>
    <xf numFmtId="170" fontId="0" fillId="6" borderId="4" xfId="0" applyNumberFormat="1" applyFill="1" applyBorder="1" applyAlignment="1">
      <alignment horizontal="center"/>
    </xf>
    <xf numFmtId="170" fontId="0" fillId="0" borderId="4" xfId="0" applyNumberFormat="1" applyBorder="1" applyAlignment="1">
      <alignment horizontal="center"/>
    </xf>
    <xf numFmtId="0" fontId="0" fillId="0" borderId="0" xfId="0" applyAlignment="1">
      <alignment horizontal="left"/>
    </xf>
    <xf numFmtId="0" fontId="27" fillId="0" borderId="0" xfId="0" applyFont="1" applyAlignment="1">
      <alignment horizontal="left"/>
    </xf>
    <xf numFmtId="0" fontId="14" fillId="6" borderId="2" xfId="0" applyFont="1" applyFill="1" applyBorder="1"/>
    <xf numFmtId="0" fontId="0" fillId="5" borderId="1" xfId="0" applyFill="1" applyBorder="1"/>
    <xf numFmtId="14" fontId="0" fillId="5" borderId="2" xfId="0" applyNumberFormat="1" applyFill="1" applyBorder="1"/>
    <xf numFmtId="0" fontId="0" fillId="5" borderId="2" xfId="0" applyFill="1" applyBorder="1"/>
    <xf numFmtId="0" fontId="23" fillId="5" borderId="2" xfId="0" applyFont="1" applyFill="1" applyBorder="1" applyAlignment="1">
      <alignment vertical="center"/>
    </xf>
    <xf numFmtId="170" fontId="23" fillId="5" borderId="2" xfId="0" applyNumberFormat="1" applyFont="1" applyFill="1" applyBorder="1" applyAlignment="1">
      <alignment horizontal="center" vertical="center"/>
    </xf>
    <xf numFmtId="165" fontId="5" fillId="5" borderId="2" xfId="0" applyNumberFormat="1" applyFont="1" applyFill="1" applyBorder="1" applyAlignment="1">
      <alignment horizontal="center"/>
    </xf>
    <xf numFmtId="0" fontId="2" fillId="5" borderId="2" xfId="2" applyFill="1" applyBorder="1" applyAlignment="1" applyProtection="1"/>
    <xf numFmtId="0" fontId="24" fillId="5" borderId="2" xfId="0" applyFont="1" applyFill="1" applyBorder="1"/>
    <xf numFmtId="0" fontId="0" fillId="5" borderId="2" xfId="0" applyFill="1" applyBorder="1" applyAlignment="1">
      <alignment horizontal="left"/>
    </xf>
    <xf numFmtId="43" fontId="8" fillId="7" borderId="4" xfId="1" applyFont="1" applyFill="1" applyBorder="1" applyAlignment="1">
      <alignment horizontal="center" vertical="top"/>
    </xf>
    <xf numFmtId="43" fontId="7" fillId="2" borderId="2" xfId="1" applyFont="1" applyFill="1" applyBorder="1"/>
    <xf numFmtId="43" fontId="7" fillId="5" borderId="2" xfId="1" applyFont="1" applyFill="1" applyBorder="1"/>
    <xf numFmtId="43" fontId="7" fillId="0" borderId="2" xfId="1" applyFont="1" applyFill="1" applyBorder="1"/>
    <xf numFmtId="43" fontId="7" fillId="5" borderId="3" xfId="1" applyFont="1" applyFill="1" applyBorder="1"/>
    <xf numFmtId="43" fontId="0" fillId="6" borderId="4" xfId="0" applyNumberFormat="1" applyFill="1" applyBorder="1"/>
    <xf numFmtId="43" fontId="0" fillId="0" borderId="4" xfId="0" applyNumberFormat="1" applyBorder="1"/>
    <xf numFmtId="0" fontId="0" fillId="0" borderId="2" xfId="0" applyBorder="1" applyAlignment="1">
      <alignment wrapText="1"/>
    </xf>
    <xf numFmtId="14" fontId="0" fillId="0" borderId="0" xfId="0" applyNumberFormat="1" applyAlignment="1">
      <alignment horizontal="left"/>
    </xf>
    <xf numFmtId="49" fontId="30" fillId="2" borderId="2" xfId="2" applyNumberFormat="1" applyFont="1" applyFill="1" applyBorder="1" applyAlignment="1" applyProtection="1"/>
    <xf numFmtId="0" fontId="31" fillId="2" borderId="2" xfId="0" applyFont="1" applyFill="1" applyBorder="1"/>
    <xf numFmtId="0" fontId="31" fillId="0" borderId="2" xfId="0" applyFont="1" applyBorder="1"/>
    <xf numFmtId="0" fontId="2" fillId="2" borderId="0" xfId="2" applyFill="1" applyBorder="1" applyAlignment="1" applyProtection="1"/>
    <xf numFmtId="0" fontId="2" fillId="0" borderId="0" xfId="2" applyBorder="1" applyAlignment="1" applyProtection="1"/>
    <xf numFmtId="0" fontId="2" fillId="0" borderId="0" xfId="2" applyBorder="1" applyAlignment="1" applyProtection="1">
      <alignment vertical="center"/>
    </xf>
    <xf numFmtId="0" fontId="2" fillId="0" borderId="0" xfId="2" applyAlignment="1" applyProtection="1"/>
    <xf numFmtId="0" fontId="32" fillId="2" borderId="2" xfId="0" applyFont="1" applyFill="1" applyBorder="1"/>
    <xf numFmtId="0" fontId="0" fillId="2" borderId="0" xfId="0" applyFill="1"/>
    <xf numFmtId="0" fontId="25" fillId="2" borderId="0" xfId="0" applyFont="1" applyFill="1"/>
    <xf numFmtId="0" fontId="35" fillId="0" borderId="0" xfId="0" applyFont="1"/>
    <xf numFmtId="0" fontId="2" fillId="2" borderId="0" xfId="2" applyFill="1" applyAlignment="1" applyProtection="1"/>
    <xf numFmtId="14" fontId="0" fillId="2" borderId="2" xfId="0" applyNumberFormat="1" applyFill="1" applyBorder="1" applyAlignment="1">
      <alignment horizontal="left"/>
    </xf>
    <xf numFmtId="0" fontId="2" fillId="0" borderId="0" xfId="2" applyFill="1" applyAlignment="1" applyProtection="1"/>
    <xf numFmtId="0" fontId="0" fillId="0" borderId="15" xfId="0" applyBorder="1"/>
    <xf numFmtId="14" fontId="0" fillId="0" borderId="5" xfId="0" applyNumberFormat="1" applyBorder="1"/>
    <xf numFmtId="0" fontId="0" fillId="0" borderId="5" xfId="0" applyBorder="1"/>
    <xf numFmtId="170" fontId="0" fillId="0" borderId="5" xfId="0" applyNumberFormat="1" applyBorder="1" applyAlignment="1">
      <alignment horizontal="center"/>
    </xf>
    <xf numFmtId="43" fontId="7" fillId="5" borderId="5" xfId="1" applyFont="1" applyFill="1" applyBorder="1"/>
    <xf numFmtId="0" fontId="0" fillId="0" borderId="5" xfId="0" applyBorder="1" applyAlignment="1">
      <alignment horizontal="left"/>
    </xf>
    <xf numFmtId="0" fontId="2" fillId="0" borderId="2" xfId="2" applyBorder="1" applyAlignment="1" applyProtection="1">
      <alignment vertical="center"/>
    </xf>
    <xf numFmtId="0" fontId="0" fillId="0" borderId="9" xfId="0" applyBorder="1"/>
    <xf numFmtId="0" fontId="0" fillId="0" borderId="10" xfId="0" applyBorder="1"/>
    <xf numFmtId="43" fontId="7" fillId="5" borderId="11" xfId="1" applyFont="1" applyFill="1" applyBorder="1"/>
    <xf numFmtId="0" fontId="0" fillId="0" borderId="12" xfId="0" applyBorder="1"/>
    <xf numFmtId="0" fontId="0" fillId="0" borderId="13" xfId="0" applyBorder="1"/>
    <xf numFmtId="43" fontId="7" fillId="5" borderId="14" xfId="1" applyFont="1" applyFill="1" applyBorder="1"/>
    <xf numFmtId="0" fontId="36" fillId="0" borderId="0" xfId="0" applyFont="1"/>
    <xf numFmtId="43" fontId="0" fillId="0" borderId="2" xfId="1" applyFont="1" applyFill="1" applyBorder="1"/>
    <xf numFmtId="0" fontId="21" fillId="0" borderId="2" xfId="0" applyFont="1" applyBorder="1"/>
    <xf numFmtId="0" fontId="32" fillId="0" borderId="2" xfId="0" applyFont="1" applyBorder="1"/>
    <xf numFmtId="0" fontId="38" fillId="0" borderId="1" xfId="0" applyFont="1" applyBorder="1"/>
    <xf numFmtId="164" fontId="39" fillId="0" borderId="2" xfId="0" applyNumberFormat="1" applyFont="1" applyBorder="1" applyAlignment="1">
      <alignment horizontal="left"/>
    </xf>
    <xf numFmtId="169" fontId="39" fillId="0" borderId="2" xfId="0" applyNumberFormat="1" applyFont="1" applyBorder="1" applyAlignment="1">
      <alignment horizontal="center"/>
    </xf>
    <xf numFmtId="165" fontId="39" fillId="0" borderId="2" xfId="0" applyNumberFormat="1" applyFont="1" applyBorder="1" applyAlignment="1">
      <alignment horizontal="center"/>
    </xf>
    <xf numFmtId="0" fontId="39" fillId="0" borderId="2" xfId="0" applyFont="1" applyBorder="1" applyAlignment="1">
      <alignment horizontal="center" wrapText="1"/>
    </xf>
    <xf numFmtId="0" fontId="39" fillId="0" borderId="2" xfId="0" applyFont="1" applyBorder="1"/>
    <xf numFmtId="0" fontId="39" fillId="0" borderId="2" xfId="0" applyFont="1" applyBorder="1" applyAlignment="1">
      <alignment horizontal="center"/>
    </xf>
    <xf numFmtId="0" fontId="32" fillId="0" borderId="2" xfId="0" applyFont="1" applyBorder="1" applyAlignment="1">
      <alignment horizontal="center"/>
    </xf>
    <xf numFmtId="166" fontId="21" fillId="0" borderId="2" xfId="1" applyNumberFormat="1" applyFont="1" applyBorder="1" applyAlignment="1">
      <alignment horizontal="center"/>
    </xf>
    <xf numFmtId="1" fontId="21" fillId="0" borderId="2" xfId="1" applyNumberFormat="1" applyFont="1" applyBorder="1" applyAlignment="1">
      <alignment horizontal="center"/>
    </xf>
    <xf numFmtId="4" fontId="21" fillId="0" borderId="2" xfId="1" applyNumberFormat="1" applyFont="1" applyBorder="1" applyAlignment="1">
      <alignment horizontal="center"/>
    </xf>
    <xf numFmtId="43" fontId="21" fillId="0" borderId="2" xfId="1" applyFont="1" applyBorder="1" applyAlignment="1">
      <alignment horizontal="center"/>
    </xf>
    <xf numFmtId="164" fontId="38" fillId="0" borderId="2" xfId="0" applyNumberFormat="1" applyFont="1" applyBorder="1" applyAlignment="1">
      <alignment horizontal="left" vertical="top" wrapText="1"/>
    </xf>
    <xf numFmtId="0" fontId="38" fillId="0" borderId="2" xfId="0" applyFont="1" applyBorder="1" applyAlignment="1">
      <alignment horizontal="center" vertical="top" wrapText="1"/>
    </xf>
    <xf numFmtId="169" fontId="38" fillId="0" borderId="2" xfId="0" applyNumberFormat="1" applyFont="1" applyBorder="1" applyAlignment="1">
      <alignment horizontal="center" vertical="top" wrapText="1"/>
    </xf>
    <xf numFmtId="165" fontId="38" fillId="0" borderId="2" xfId="0" applyNumberFormat="1" applyFont="1" applyBorder="1" applyAlignment="1">
      <alignment horizontal="center" vertical="top" wrapText="1"/>
    </xf>
    <xf numFmtId="0" fontId="40" fillId="0" borderId="2" xfId="0" applyFont="1" applyBorder="1" applyAlignment="1">
      <alignment horizontal="center" vertical="top" wrapText="1"/>
    </xf>
    <xf numFmtId="1" fontId="40" fillId="0" borderId="2" xfId="1" applyNumberFormat="1" applyFont="1" applyFill="1" applyBorder="1" applyAlignment="1">
      <alignment horizontal="center" vertical="top" wrapText="1"/>
    </xf>
    <xf numFmtId="4" fontId="40" fillId="0" borderId="2" xfId="1" applyNumberFormat="1" applyFont="1" applyFill="1" applyBorder="1" applyAlignment="1">
      <alignment horizontal="center" vertical="top" wrapText="1"/>
    </xf>
    <xf numFmtId="43" fontId="40" fillId="0" borderId="2" xfId="1" applyFont="1" applyFill="1" applyBorder="1" applyAlignment="1">
      <alignment horizontal="center" vertical="top"/>
    </xf>
    <xf numFmtId="166" fontId="40" fillId="0" borderId="2" xfId="1" applyNumberFormat="1" applyFont="1" applyFill="1" applyBorder="1" applyAlignment="1">
      <alignment horizontal="center" vertical="top" wrapText="1"/>
    </xf>
    <xf numFmtId="0" fontId="39" fillId="0" borderId="2" xfId="0" applyFont="1" applyBorder="1" applyAlignment="1">
      <alignment horizontal="left"/>
    </xf>
    <xf numFmtId="0" fontId="21" fillId="0" borderId="2" xfId="0" applyFont="1" applyBorder="1" applyAlignment="1">
      <alignment horizontal="center"/>
    </xf>
    <xf numFmtId="166" fontId="21" fillId="0" borderId="2" xfId="1" applyNumberFormat="1" applyFont="1" applyBorder="1"/>
    <xf numFmtId="1" fontId="21" fillId="0" borderId="2" xfId="1" applyNumberFormat="1" applyFont="1" applyFill="1" applyBorder="1" applyAlignment="1">
      <alignment horizontal="center"/>
    </xf>
    <xf numFmtId="4" fontId="21" fillId="0" borderId="2" xfId="1" applyNumberFormat="1" applyFont="1" applyFill="1" applyBorder="1" applyAlignment="1">
      <alignment horizontal="center"/>
    </xf>
    <xf numFmtId="166" fontId="21" fillId="0" borderId="2" xfId="1" applyNumberFormat="1" applyFont="1" applyFill="1" applyBorder="1"/>
    <xf numFmtId="164" fontId="21" fillId="0" borderId="2" xfId="0" applyNumberFormat="1" applyFont="1" applyBorder="1" applyAlignment="1">
      <alignment horizontal="left"/>
    </xf>
    <xf numFmtId="169" fontId="21" fillId="0" borderId="2" xfId="0" applyNumberFormat="1" applyFont="1" applyBorder="1" applyAlignment="1">
      <alignment horizontal="center"/>
    </xf>
    <xf numFmtId="0" fontId="21" fillId="0" borderId="2" xfId="0" applyFont="1" applyBorder="1" applyAlignment="1">
      <alignment horizontal="left"/>
    </xf>
    <xf numFmtId="0" fontId="39" fillId="2" borderId="2" xfId="0" applyFont="1" applyFill="1" applyBorder="1"/>
    <xf numFmtId="165" fontId="21" fillId="0" borderId="2" xfId="0" applyNumberFormat="1" applyFont="1" applyBorder="1" applyAlignment="1">
      <alignment horizontal="center"/>
    </xf>
    <xf numFmtId="169" fontId="39" fillId="2" borderId="2" xfId="0" applyNumberFormat="1" applyFont="1" applyFill="1" applyBorder="1" applyAlignment="1">
      <alignment horizontal="center"/>
    </xf>
    <xf numFmtId="49" fontId="21" fillId="0" borderId="2" xfId="0" applyNumberFormat="1" applyFont="1" applyBorder="1" applyAlignment="1">
      <alignment horizontal="center"/>
    </xf>
    <xf numFmtId="165" fontId="39" fillId="2" borderId="2" xfId="0" applyNumberFormat="1" applyFont="1" applyFill="1" applyBorder="1" applyAlignment="1">
      <alignment horizontal="center"/>
    </xf>
    <xf numFmtId="0" fontId="42" fillId="0" borderId="2" xfId="2" applyFont="1" applyBorder="1" applyAlignment="1" applyProtection="1"/>
    <xf numFmtId="0" fontId="21" fillId="2" borderId="2" xfId="0" applyFont="1" applyFill="1" applyBorder="1" applyAlignment="1">
      <alignment horizontal="left"/>
    </xf>
    <xf numFmtId="166" fontId="21" fillId="2" borderId="2" xfId="1" applyNumberFormat="1" applyFont="1" applyFill="1" applyBorder="1"/>
    <xf numFmtId="0" fontId="39" fillId="2" borderId="2" xfId="0" applyFont="1" applyFill="1" applyBorder="1" applyAlignment="1">
      <alignment horizontal="center"/>
    </xf>
    <xf numFmtId="1" fontId="21" fillId="2" borderId="2" xfId="1" applyNumberFormat="1" applyFont="1" applyFill="1" applyBorder="1" applyAlignment="1">
      <alignment horizontal="center"/>
    </xf>
    <xf numFmtId="4" fontId="21" fillId="2" borderId="2" xfId="1" applyNumberFormat="1" applyFont="1" applyFill="1" applyBorder="1" applyAlignment="1">
      <alignment horizontal="center"/>
    </xf>
    <xf numFmtId="0" fontId="42" fillId="0" borderId="2" xfId="2" applyFont="1" applyFill="1" applyBorder="1" applyAlignment="1" applyProtection="1"/>
    <xf numFmtId="0" fontId="42" fillId="2" borderId="2" xfId="2" applyFont="1" applyFill="1" applyBorder="1" applyAlignment="1" applyProtection="1"/>
    <xf numFmtId="1" fontId="21" fillId="0" borderId="2" xfId="1" quotePrefix="1" applyNumberFormat="1" applyFont="1" applyBorder="1" applyAlignment="1">
      <alignment horizontal="center"/>
    </xf>
    <xf numFmtId="164" fontId="39" fillId="2" borderId="2" xfId="0" applyNumberFormat="1" applyFont="1" applyFill="1" applyBorder="1" applyAlignment="1">
      <alignment horizontal="left"/>
    </xf>
    <xf numFmtId="1" fontId="21" fillId="2" borderId="2" xfId="1" quotePrefix="1" applyNumberFormat="1" applyFont="1" applyFill="1" applyBorder="1" applyAlignment="1">
      <alignment horizontal="center"/>
    </xf>
    <xf numFmtId="164" fontId="21" fillId="2" borderId="2" xfId="0" applyNumberFormat="1" applyFont="1" applyFill="1" applyBorder="1" applyAlignment="1">
      <alignment horizontal="left"/>
    </xf>
    <xf numFmtId="4" fontId="21" fillId="2" borderId="2" xfId="0" applyNumberFormat="1" applyFont="1" applyFill="1" applyBorder="1" applyAlignment="1">
      <alignment horizontal="center"/>
    </xf>
    <xf numFmtId="0" fontId="21" fillId="2" borderId="2" xfId="0" applyFont="1" applyFill="1" applyBorder="1"/>
    <xf numFmtId="169" fontId="21" fillId="2" borderId="2" xfId="0" applyNumberFormat="1" applyFont="1" applyFill="1" applyBorder="1" applyAlignment="1">
      <alignment horizontal="center"/>
    </xf>
    <xf numFmtId="165" fontId="21" fillId="2" borderId="2" xfId="0" applyNumberFormat="1" applyFont="1" applyFill="1" applyBorder="1" applyAlignment="1">
      <alignment horizontal="center"/>
    </xf>
    <xf numFmtId="0" fontId="41" fillId="2" borderId="2" xfId="2" applyFont="1" applyFill="1" applyBorder="1" applyAlignment="1" applyProtection="1"/>
    <xf numFmtId="0" fontId="32" fillId="2" borderId="2" xfId="0" applyFont="1" applyFill="1" applyBorder="1" applyAlignment="1">
      <alignment horizontal="center"/>
    </xf>
    <xf numFmtId="0" fontId="39" fillId="2" borderId="1" xfId="0" applyFont="1" applyFill="1" applyBorder="1" applyAlignment="1">
      <alignment horizontal="center"/>
    </xf>
    <xf numFmtId="0" fontId="39" fillId="0" borderId="1" xfId="0" applyFont="1" applyBorder="1" applyAlignment="1">
      <alignment horizontal="center"/>
    </xf>
    <xf numFmtId="0" fontId="21" fillId="2" borderId="1" xfId="0" applyFont="1" applyFill="1" applyBorder="1" applyAlignment="1">
      <alignment horizontal="center"/>
    </xf>
    <xf numFmtId="1" fontId="21" fillId="0" borderId="2" xfId="1" quotePrefix="1" applyNumberFormat="1" applyFont="1" applyFill="1" applyBorder="1" applyAlignment="1">
      <alignment horizontal="center"/>
    </xf>
    <xf numFmtId="0" fontId="37" fillId="2" borderId="2" xfId="0" applyFont="1" applyFill="1" applyBorder="1" applyAlignment="1">
      <alignment horizontal="left"/>
    </xf>
    <xf numFmtId="0" fontId="21" fillId="0" borderId="1" xfId="0" applyFont="1" applyBorder="1" applyAlignment="1">
      <alignment horizontal="center"/>
    </xf>
    <xf numFmtId="0" fontId="39" fillId="2" borderId="2" xfId="0" applyFont="1" applyFill="1" applyBorder="1" applyAlignment="1">
      <alignment horizontal="left"/>
    </xf>
    <xf numFmtId="0" fontId="42" fillId="2" borderId="0" xfId="2" applyFont="1" applyFill="1" applyBorder="1" applyAlignment="1" applyProtection="1"/>
    <xf numFmtId="0" fontId="32" fillId="0" borderId="2" xfId="0" applyFont="1" applyBorder="1" applyAlignment="1">
      <alignment horizontal="left"/>
    </xf>
    <xf numFmtId="169" fontId="32" fillId="0" borderId="2" xfId="0" applyNumberFormat="1" applyFont="1" applyBorder="1" applyAlignment="1">
      <alignment horizontal="center"/>
    </xf>
    <xf numFmtId="165" fontId="32" fillId="0" borderId="2" xfId="0" applyNumberFormat="1" applyFont="1" applyBorder="1" applyAlignment="1">
      <alignment horizontal="center"/>
    </xf>
    <xf numFmtId="1" fontId="32" fillId="0" borderId="2" xfId="0" applyNumberFormat="1" applyFont="1" applyBorder="1" applyAlignment="1">
      <alignment horizontal="center"/>
    </xf>
    <xf numFmtId="4" fontId="32" fillId="0" borderId="2" xfId="0" applyNumberFormat="1" applyFont="1" applyBorder="1" applyAlignment="1">
      <alignment horizontal="center"/>
    </xf>
    <xf numFmtId="164" fontId="32" fillId="0" borderId="2" xfId="0" applyNumberFormat="1" applyFont="1" applyBorder="1" applyAlignment="1">
      <alignment horizontal="left"/>
    </xf>
    <xf numFmtId="164" fontId="32" fillId="2" borderId="2" xfId="0" applyNumberFormat="1" applyFont="1" applyFill="1" applyBorder="1" applyAlignment="1">
      <alignment horizontal="left"/>
    </xf>
    <xf numFmtId="169" fontId="32" fillId="2" borderId="2" xfId="0" applyNumberFormat="1" applyFont="1" applyFill="1" applyBorder="1" applyAlignment="1">
      <alignment horizontal="center"/>
    </xf>
    <xf numFmtId="1" fontId="32" fillId="2" borderId="2" xfId="0" applyNumberFormat="1" applyFont="1" applyFill="1" applyBorder="1" applyAlignment="1">
      <alignment horizontal="center"/>
    </xf>
    <xf numFmtId="4" fontId="32" fillId="2" borderId="2" xfId="0" applyNumberFormat="1" applyFont="1" applyFill="1" applyBorder="1" applyAlignment="1">
      <alignment horizontal="center"/>
    </xf>
    <xf numFmtId="1" fontId="32" fillId="2" borderId="2" xfId="0" quotePrefix="1" applyNumberFormat="1" applyFont="1" applyFill="1" applyBorder="1" applyAlignment="1">
      <alignment horizontal="center"/>
    </xf>
    <xf numFmtId="165" fontId="32" fillId="2" borderId="2" xfId="0" applyNumberFormat="1" applyFont="1" applyFill="1" applyBorder="1" applyAlignment="1">
      <alignment horizontal="center"/>
    </xf>
    <xf numFmtId="1" fontId="32" fillId="0" borderId="2" xfId="0" quotePrefix="1" applyNumberFormat="1" applyFont="1" applyBorder="1" applyAlignment="1">
      <alignment horizontal="center"/>
    </xf>
    <xf numFmtId="0" fontId="43" fillId="2" borderId="2" xfId="0" applyFont="1" applyFill="1" applyBorder="1"/>
    <xf numFmtId="49" fontId="21" fillId="2" borderId="2" xfId="0" applyNumberFormat="1" applyFont="1" applyFill="1" applyBorder="1" applyAlignment="1">
      <alignment horizontal="center"/>
    </xf>
    <xf numFmtId="1" fontId="21" fillId="2" borderId="5" xfId="1" applyNumberFormat="1" applyFont="1" applyFill="1" applyBorder="1" applyAlignment="1">
      <alignment horizontal="center"/>
    </xf>
    <xf numFmtId="4" fontId="21" fillId="2" borderId="5" xfId="1" applyNumberFormat="1" applyFont="1" applyFill="1" applyBorder="1" applyAlignment="1">
      <alignment horizontal="center"/>
    </xf>
    <xf numFmtId="166" fontId="21" fillId="2" borderId="5" xfId="1" applyNumberFormat="1" applyFont="1" applyFill="1" applyBorder="1"/>
    <xf numFmtId="0" fontId="21" fillId="2" borderId="5" xfId="0" applyFont="1" applyFill="1" applyBorder="1" applyAlignment="1">
      <alignment horizontal="center"/>
    </xf>
    <xf numFmtId="0" fontId="21" fillId="2" borderId="5" xfId="0" applyFont="1" applyFill="1" applyBorder="1" applyAlignment="1">
      <alignment horizontal="left"/>
    </xf>
    <xf numFmtId="0" fontId="32" fillId="6" borderId="1" xfId="0" applyFont="1" applyFill="1" applyBorder="1"/>
    <xf numFmtId="164" fontId="32" fillId="6" borderId="2" xfId="0" applyNumberFormat="1" applyFont="1" applyFill="1" applyBorder="1" applyAlignment="1">
      <alignment horizontal="left"/>
    </xf>
    <xf numFmtId="0" fontId="32" fillId="6" borderId="2" xfId="0" applyFont="1" applyFill="1" applyBorder="1" applyAlignment="1">
      <alignment horizontal="center"/>
    </xf>
    <xf numFmtId="0" fontId="32" fillId="6" borderId="2" xfId="0" applyFont="1" applyFill="1" applyBorder="1"/>
    <xf numFmtId="169" fontId="32" fillId="6" borderId="2" xfId="0" applyNumberFormat="1" applyFont="1" applyFill="1" applyBorder="1"/>
    <xf numFmtId="165" fontId="32" fillId="6" borderId="2" xfId="0" applyNumberFormat="1" applyFont="1" applyFill="1" applyBorder="1" applyAlignment="1">
      <alignment horizontal="center"/>
    </xf>
    <xf numFmtId="1" fontId="32" fillId="6" borderId="2" xfId="0" applyNumberFormat="1" applyFont="1" applyFill="1" applyBorder="1" applyAlignment="1">
      <alignment horizontal="center"/>
    </xf>
    <xf numFmtId="4" fontId="32" fillId="6" borderId="2" xfId="0" applyNumberFormat="1" applyFont="1" applyFill="1" applyBorder="1" applyAlignment="1">
      <alignment horizontal="center"/>
    </xf>
    <xf numFmtId="43" fontId="32" fillId="6" borderId="2" xfId="0" applyNumberFormat="1" applyFont="1" applyFill="1" applyBorder="1" applyAlignment="1">
      <alignment horizontal="center"/>
    </xf>
    <xf numFmtId="0" fontId="32" fillId="0" borderId="1" xfId="0" applyFont="1" applyBorder="1"/>
    <xf numFmtId="169" fontId="32" fillId="0" borderId="2" xfId="0" applyNumberFormat="1" applyFont="1" applyBorder="1"/>
    <xf numFmtId="43" fontId="32" fillId="0" borderId="2" xfId="0" applyNumberFormat="1" applyFont="1" applyBorder="1" applyAlignment="1">
      <alignment horizontal="center"/>
    </xf>
    <xf numFmtId="0" fontId="0" fillId="2" borderId="5" xfId="0" applyFill="1" applyBorder="1"/>
    <xf numFmtId="0" fontId="21" fillId="6" borderId="1" xfId="0" applyFont="1" applyFill="1" applyBorder="1" applyAlignment="1">
      <alignment horizontal="center"/>
    </xf>
    <xf numFmtId="0" fontId="35" fillId="0" borderId="2" xfId="0" applyFont="1" applyBorder="1"/>
    <xf numFmtId="2" fontId="0" fillId="2" borderId="2" xfId="0" applyNumberFormat="1" applyFill="1" applyBorder="1"/>
    <xf numFmtId="168" fontId="39" fillId="11" borderId="2" xfId="0" applyNumberFormat="1" applyFont="1" applyFill="1" applyBorder="1" applyAlignment="1">
      <alignment horizontal="center"/>
    </xf>
    <xf numFmtId="0" fontId="2" fillId="2" borderId="2" xfId="2" applyFill="1" applyBorder="1" applyAlignment="1" applyProtection="1">
      <alignment vertical="center"/>
    </xf>
    <xf numFmtId="0" fontId="31" fillId="0" borderId="0" xfId="0" applyFont="1" applyAlignment="1">
      <alignment horizontal="center"/>
    </xf>
    <xf numFmtId="14" fontId="31" fillId="0" borderId="0" xfId="0" applyNumberFormat="1" applyFont="1" applyAlignment="1">
      <alignment horizontal="center"/>
    </xf>
    <xf numFmtId="0" fontId="14" fillId="0" borderId="2" xfId="0" applyFont="1" applyBorder="1"/>
    <xf numFmtId="0" fontId="14" fillId="0" borderId="2" xfId="0" applyFont="1" applyBorder="1" applyAlignment="1">
      <alignment vertical="top"/>
    </xf>
    <xf numFmtId="0" fontId="7" fillId="0" borderId="2" xfId="0" applyFont="1" applyBorder="1"/>
    <xf numFmtId="0" fontId="19" fillId="0" borderId="2" xfId="0" applyFont="1" applyBorder="1"/>
    <xf numFmtId="0" fontId="19" fillId="0" borderId="5" xfId="0" applyFont="1" applyBorder="1"/>
    <xf numFmtId="0" fontId="14" fillId="4" borderId="2" xfId="0" applyFont="1" applyFill="1" applyBorder="1"/>
    <xf numFmtId="0" fontId="14" fillId="2" borderId="2" xfId="0" applyFont="1" applyFill="1" applyBorder="1"/>
    <xf numFmtId="0" fontId="7" fillId="2" borderId="2" xfId="0" applyFont="1" applyFill="1" applyBorder="1"/>
    <xf numFmtId="14" fontId="39" fillId="8" borderId="2" xfId="0" applyNumberFormat="1" applyFont="1" applyFill="1" applyBorder="1" applyAlignment="1">
      <alignment horizontal="center"/>
    </xf>
    <xf numFmtId="9" fontId="13" fillId="2" borderId="2" xfId="0" applyNumberFormat="1" applyFont="1" applyFill="1" applyBorder="1"/>
    <xf numFmtId="0" fontId="14" fillId="9" borderId="2" xfId="0" applyFont="1" applyFill="1" applyBorder="1"/>
    <xf numFmtId="0" fontId="38" fillId="0" borderId="2" xfId="0" applyFont="1" applyBorder="1" applyAlignment="1">
      <alignment horizontal="center" vertical="top"/>
    </xf>
    <xf numFmtId="0" fontId="31" fillId="2" borderId="2" xfId="0" applyFont="1" applyFill="1" applyBorder="1" applyAlignment="1">
      <alignment horizontal="left"/>
    </xf>
    <xf numFmtId="0" fontId="33" fillId="2" borderId="2" xfId="0" applyFont="1" applyFill="1" applyBorder="1"/>
    <xf numFmtId="0" fontId="2" fillId="0" borderId="0" xfId="2" applyFill="1" applyBorder="1" applyAlignment="1" applyProtection="1"/>
    <xf numFmtId="0" fontId="34" fillId="0" borderId="2" xfId="0" applyFont="1" applyBorder="1"/>
    <xf numFmtId="0" fontId="14" fillId="2" borderId="5" xfId="0" applyFont="1" applyFill="1" applyBorder="1"/>
    <xf numFmtId="0" fontId="21" fillId="0" borderId="2" xfId="1" applyNumberFormat="1" applyFont="1" applyBorder="1" applyAlignment="1">
      <alignment horizontal="center"/>
    </xf>
    <xf numFmtId="165" fontId="0" fillId="0" borderId="2" xfId="0" applyNumberFormat="1" applyBorder="1" applyAlignment="1">
      <alignment horizontal="center"/>
    </xf>
    <xf numFmtId="165" fontId="20" fillId="2" borderId="2" xfId="0" applyNumberFormat="1" applyFont="1" applyFill="1" applyBorder="1"/>
    <xf numFmtId="165" fontId="0" fillId="2" borderId="2" xfId="0" applyNumberFormat="1" applyFill="1" applyBorder="1" applyAlignment="1">
      <alignment horizontal="center"/>
    </xf>
    <xf numFmtId="165" fontId="0" fillId="0" borderId="5" xfId="0" applyNumberFormat="1" applyBorder="1" applyAlignment="1">
      <alignment horizontal="center"/>
    </xf>
    <xf numFmtId="165" fontId="0" fillId="6" borderId="4" xfId="0" applyNumberFormat="1" applyFill="1" applyBorder="1" applyAlignment="1">
      <alignment horizontal="center"/>
    </xf>
    <xf numFmtId="165" fontId="0" fillId="0" borderId="4" xfId="0" applyNumberFormat="1" applyBorder="1" applyAlignment="1">
      <alignment horizontal="center"/>
    </xf>
    <xf numFmtId="0" fontId="19" fillId="2" borderId="2" xfId="0" applyFont="1" applyFill="1" applyBorder="1"/>
    <xf numFmtId="0" fontId="7" fillId="8" borderId="2" xfId="0" applyFont="1" applyFill="1" applyBorder="1"/>
    <xf numFmtId="0" fontId="38" fillId="0" borderId="2" xfId="0" applyFont="1" applyBorder="1" applyAlignment="1">
      <alignment horizontal="left" vertical="top"/>
    </xf>
    <xf numFmtId="0" fontId="32" fillId="6" borderId="2" xfId="0" applyFont="1" applyFill="1" applyBorder="1" applyAlignment="1">
      <alignment horizontal="left"/>
    </xf>
    <xf numFmtId="0" fontId="39" fillId="12" borderId="2" xfId="0" applyFont="1" applyFill="1" applyBorder="1" applyAlignment="1">
      <alignment horizontal="center"/>
    </xf>
    <xf numFmtId="169" fontId="32" fillId="0" borderId="2" xfId="0" applyNumberFormat="1" applyFont="1" applyBorder="1" applyAlignment="1">
      <alignment horizontal="right"/>
    </xf>
    <xf numFmtId="0" fontId="0" fillId="0" borderId="7" xfId="0" applyBorder="1"/>
    <xf numFmtId="0" fontId="0" fillId="0" borderId="8" xfId="0" applyBorder="1"/>
    <xf numFmtId="0" fontId="21" fillId="9" borderId="2" xfId="0" applyFont="1" applyFill="1" applyBorder="1" applyAlignment="1">
      <alignment horizontal="center"/>
    </xf>
    <xf numFmtId="0" fontId="19" fillId="2" borderId="5" xfId="0" applyFont="1" applyFill="1" applyBorder="1"/>
    <xf numFmtId="0" fontId="26" fillId="0" borderId="0" xfId="0" applyFont="1"/>
    <xf numFmtId="0" fontId="39" fillId="0" borderId="2" xfId="0" applyFont="1" applyBorder="1" applyAlignment="1">
      <alignment horizontal="right"/>
    </xf>
    <xf numFmtId="0" fontId="39" fillId="2" borderId="2" xfId="0" applyFont="1" applyFill="1" applyBorder="1" applyAlignment="1">
      <alignment horizontal="right"/>
    </xf>
    <xf numFmtId="0" fontId="32" fillId="2" borderId="2" xfId="0" applyFont="1" applyFill="1" applyBorder="1" applyAlignment="1">
      <alignment horizontal="right"/>
    </xf>
    <xf numFmtId="0" fontId="32" fillId="0" borderId="2" xfId="0" applyFont="1" applyBorder="1" applyAlignment="1">
      <alignment horizontal="right"/>
    </xf>
    <xf numFmtId="0" fontId="0" fillId="2" borderId="3" xfId="0" applyFill="1" applyBorder="1"/>
    <xf numFmtId="165" fontId="39" fillId="4" borderId="2" xfId="0" applyNumberFormat="1" applyFont="1" applyFill="1" applyBorder="1" applyAlignment="1">
      <alignment horizontal="center"/>
    </xf>
    <xf numFmtId="0" fontId="0" fillId="0" borderId="2" xfId="0" applyBorder="1" applyAlignment="1">
      <alignment horizontal="center"/>
    </xf>
    <xf numFmtId="0" fontId="21" fillId="8" borderId="2" xfId="0" applyFont="1" applyFill="1" applyBorder="1" applyAlignment="1">
      <alignment horizontal="center"/>
    </xf>
    <xf numFmtId="0" fontId="21" fillId="6" borderId="2" xfId="0" applyFont="1" applyFill="1" applyBorder="1" applyAlignment="1">
      <alignment horizontal="center"/>
    </xf>
    <xf numFmtId="171" fontId="14" fillId="0" borderId="2" xfId="0" applyNumberFormat="1" applyFont="1" applyBorder="1" applyAlignment="1">
      <alignment horizontal="center"/>
    </xf>
    <xf numFmtId="171" fontId="8" fillId="0" borderId="2" xfId="0" applyNumberFormat="1" applyFont="1" applyBorder="1" applyAlignment="1">
      <alignment horizontal="center" vertical="top" wrapText="1"/>
    </xf>
    <xf numFmtId="171" fontId="7" fillId="0" borderId="2" xfId="0" applyNumberFormat="1" applyFont="1" applyBorder="1" applyAlignment="1">
      <alignment horizontal="center"/>
    </xf>
    <xf numFmtId="171" fontId="14" fillId="2" borderId="2" xfId="0" applyNumberFormat="1" applyFont="1" applyFill="1" applyBorder="1" applyAlignment="1">
      <alignment horizontal="center"/>
    </xf>
    <xf numFmtId="0" fontId="8" fillId="0" borderId="2" xfId="0" applyFont="1" applyBorder="1" applyAlignment="1">
      <alignment horizontal="center" vertical="top" wrapText="1"/>
    </xf>
    <xf numFmtId="43" fontId="7" fillId="0" borderId="2" xfId="1" applyFont="1" applyBorder="1"/>
    <xf numFmtId="171" fontId="32" fillId="2" borderId="2" xfId="0" applyNumberFormat="1" applyFont="1" applyFill="1" applyBorder="1" applyAlignment="1">
      <alignment horizontal="center"/>
    </xf>
    <xf numFmtId="171" fontId="21" fillId="0" borderId="2" xfId="0" applyNumberFormat="1" applyFont="1" applyBorder="1" applyAlignment="1">
      <alignment horizontal="center"/>
    </xf>
    <xf numFmtId="171" fontId="39" fillId="0" borderId="2" xfId="0" applyNumberFormat="1" applyFont="1" applyBorder="1" applyAlignment="1">
      <alignment horizontal="center"/>
    </xf>
    <xf numFmtId="171" fontId="40" fillId="0" borderId="2" xfId="0" applyNumberFormat="1" applyFont="1" applyBorder="1" applyAlignment="1">
      <alignment horizontal="center" vertical="top" wrapText="1"/>
    </xf>
    <xf numFmtId="171" fontId="21" fillId="2" borderId="2" xfId="0" applyNumberFormat="1" applyFont="1" applyFill="1" applyBorder="1" applyAlignment="1">
      <alignment horizontal="center"/>
    </xf>
    <xf numFmtId="171" fontId="39" fillId="2" borderId="2" xfId="0" applyNumberFormat="1" applyFont="1" applyFill="1" applyBorder="1" applyAlignment="1">
      <alignment horizontal="center"/>
    </xf>
    <xf numFmtId="171" fontId="39" fillId="2" borderId="2" xfId="1" applyNumberFormat="1" applyFont="1" applyFill="1" applyBorder="1" applyAlignment="1">
      <alignment horizontal="center"/>
    </xf>
    <xf numFmtId="171" fontId="37" fillId="2" borderId="2" xfId="0" applyNumberFormat="1" applyFont="1" applyFill="1" applyBorder="1" applyAlignment="1">
      <alignment horizontal="center"/>
    </xf>
    <xf numFmtId="171" fontId="32" fillId="0" borderId="2" xfId="0" applyNumberFormat="1" applyFont="1" applyBorder="1" applyAlignment="1">
      <alignment horizontal="center"/>
    </xf>
    <xf numFmtId="171" fontId="32" fillId="4" borderId="2" xfId="0" applyNumberFormat="1" applyFont="1" applyFill="1" applyBorder="1" applyAlignment="1">
      <alignment horizontal="center"/>
    </xf>
    <xf numFmtId="171" fontId="21" fillId="4" borderId="2" xfId="0" applyNumberFormat="1" applyFont="1" applyFill="1" applyBorder="1" applyAlignment="1">
      <alignment horizontal="center"/>
    </xf>
    <xf numFmtId="171" fontId="39" fillId="4" borderId="2" xfId="0" applyNumberFormat="1" applyFont="1" applyFill="1" applyBorder="1" applyAlignment="1">
      <alignment horizontal="center"/>
    </xf>
    <xf numFmtId="171" fontId="32" fillId="9" borderId="2" xfId="0" applyNumberFormat="1" applyFont="1" applyFill="1" applyBorder="1" applyAlignment="1">
      <alignment horizontal="center"/>
    </xf>
    <xf numFmtId="171" fontId="32" fillId="6" borderId="2" xfId="0" applyNumberFormat="1" applyFont="1" applyFill="1" applyBorder="1" applyAlignment="1">
      <alignment horizontal="center"/>
    </xf>
    <xf numFmtId="171" fontId="38" fillId="0" borderId="2" xfId="0" applyNumberFormat="1" applyFont="1" applyBorder="1" applyAlignment="1">
      <alignment horizontal="center"/>
    </xf>
    <xf numFmtId="171" fontId="38" fillId="0" borderId="2" xfId="0" applyNumberFormat="1" applyFont="1" applyBorder="1" applyAlignment="1">
      <alignment horizontal="center" vertical="top" wrapText="1"/>
    </xf>
    <xf numFmtId="171" fontId="39" fillId="10" borderId="2" xfId="0" applyNumberFormat="1" applyFont="1" applyFill="1" applyBorder="1" applyAlignment="1">
      <alignment horizontal="center"/>
    </xf>
    <xf numFmtId="171" fontId="39" fillId="9" borderId="2" xfId="0" applyNumberFormat="1" applyFont="1" applyFill="1" applyBorder="1" applyAlignment="1">
      <alignment horizontal="center"/>
    </xf>
    <xf numFmtId="171" fontId="39" fillId="7" borderId="2" xfId="0" applyNumberFormat="1" applyFont="1" applyFill="1" applyBorder="1" applyAlignment="1">
      <alignment horizontal="center"/>
    </xf>
    <xf numFmtId="171" fontId="39" fillId="3" borderId="2" xfId="0" applyNumberFormat="1" applyFont="1" applyFill="1" applyBorder="1" applyAlignment="1">
      <alignment horizontal="center"/>
    </xf>
    <xf numFmtId="171" fontId="39" fillId="4" borderId="2" xfId="1" applyNumberFormat="1" applyFont="1" applyFill="1" applyBorder="1" applyAlignment="1">
      <alignment horizontal="center"/>
    </xf>
    <xf numFmtId="170" fontId="0" fillId="2" borderId="5" xfId="0" applyNumberFormat="1" applyFill="1" applyBorder="1" applyAlignment="1">
      <alignment horizontal="center"/>
    </xf>
    <xf numFmtId="165" fontId="0" fillId="2" borderId="5" xfId="0" applyNumberFormat="1" applyFill="1" applyBorder="1" applyAlignment="1">
      <alignment horizontal="center"/>
    </xf>
    <xf numFmtId="0" fontId="32" fillId="6" borderId="2" xfId="0" applyFont="1" applyFill="1" applyBorder="1" applyAlignment="1">
      <alignment horizontal="center" vertical="center"/>
    </xf>
    <xf numFmtId="171" fontId="14" fillId="6" borderId="2" xfId="0" applyNumberFormat="1" applyFont="1" applyFill="1" applyBorder="1" applyAlignment="1">
      <alignment horizontal="center"/>
    </xf>
    <xf numFmtId="0" fontId="14" fillId="0" borderId="2" xfId="0" applyFont="1" applyBorder="1" applyAlignment="1">
      <alignment horizontal="center"/>
    </xf>
    <xf numFmtId="0" fontId="28" fillId="0" borderId="2" xfId="0" applyFont="1" applyBorder="1" applyAlignment="1">
      <alignment horizontal="center" vertical="top"/>
    </xf>
    <xf numFmtId="0" fontId="7" fillId="0" borderId="2" xfId="0" applyFont="1" applyBorder="1" applyAlignment="1">
      <alignment horizontal="center"/>
    </xf>
    <xf numFmtId="0" fontId="14" fillId="2" borderId="2" xfId="0" applyFont="1" applyFill="1" applyBorder="1" applyAlignment="1">
      <alignment horizontal="center"/>
    </xf>
    <xf numFmtId="0" fontId="14" fillId="6" borderId="2" xfId="0" applyFont="1" applyFill="1" applyBorder="1" applyAlignment="1">
      <alignment horizontal="center"/>
    </xf>
    <xf numFmtId="164" fontId="21" fillId="2" borderId="5" xfId="0" applyNumberFormat="1" applyFont="1" applyFill="1" applyBorder="1" applyAlignment="1">
      <alignment horizontal="left"/>
    </xf>
    <xf numFmtId="0" fontId="21" fillId="2" borderId="5" xfId="0" applyFont="1" applyFill="1" applyBorder="1"/>
    <xf numFmtId="169" fontId="21" fillId="2" borderId="5" xfId="0" applyNumberFormat="1" applyFont="1" applyFill="1" applyBorder="1" applyAlignment="1">
      <alignment horizontal="center"/>
    </xf>
    <xf numFmtId="165" fontId="21" fillId="2" borderId="5" xfId="0" applyNumberFormat="1" applyFont="1" applyFill="1" applyBorder="1" applyAlignment="1">
      <alignment horizontal="center"/>
    </xf>
    <xf numFmtId="0" fontId="38" fillId="0" borderId="2" xfId="0" applyFont="1" applyBorder="1"/>
    <xf numFmtId="164" fontId="38" fillId="0" borderId="2" xfId="0" applyNumberFormat="1" applyFont="1" applyBorder="1" applyAlignment="1">
      <alignment horizontal="center" vertical="top" wrapText="1"/>
    </xf>
    <xf numFmtId="0" fontId="21" fillId="13" borderId="2" xfId="0" applyFont="1" applyFill="1" applyBorder="1" applyAlignment="1">
      <alignment horizontal="center"/>
    </xf>
    <xf numFmtId="14" fontId="39" fillId="11" borderId="2" xfId="0" applyNumberFormat="1" applyFont="1" applyFill="1" applyBorder="1" applyAlignment="1">
      <alignment horizontal="center"/>
    </xf>
    <xf numFmtId="14" fontId="39" fillId="12" borderId="2" xfId="0" applyNumberFormat="1" applyFont="1" applyFill="1" applyBorder="1" applyAlignment="1">
      <alignment horizontal="center"/>
    </xf>
    <xf numFmtId="14" fontId="39" fillId="14" borderId="2" xfId="0" applyNumberFormat="1" applyFont="1" applyFill="1" applyBorder="1" applyAlignment="1">
      <alignment horizontal="center"/>
    </xf>
    <xf numFmtId="0" fontId="39" fillId="15" borderId="2" xfId="0" applyFont="1" applyFill="1" applyBorder="1" applyAlignment="1">
      <alignment horizontal="center"/>
    </xf>
    <xf numFmtId="0" fontId="21" fillId="16" borderId="2" xfId="0" applyFont="1" applyFill="1" applyBorder="1" applyAlignment="1">
      <alignment horizontal="center"/>
    </xf>
    <xf numFmtId="17" fontId="0" fillId="0" borderId="0" xfId="0" applyNumberFormat="1"/>
    <xf numFmtId="10" fontId="0" fillId="0" borderId="0" xfId="0" applyNumberFormat="1"/>
    <xf numFmtId="0" fontId="0" fillId="10" borderId="0" xfId="0" applyFill="1"/>
    <xf numFmtId="0" fontId="0" fillId="15" borderId="0" xfId="0" applyFill="1" applyAlignment="1">
      <alignment horizontal="center"/>
    </xf>
    <xf numFmtId="165" fontId="0" fillId="0" borderId="2" xfId="0" applyNumberFormat="1" applyBorder="1" applyAlignment="1">
      <alignment horizontal="left"/>
    </xf>
    <xf numFmtId="0" fontId="32" fillId="2" borderId="2" xfId="0" quotePrefix="1" applyFont="1" applyFill="1" applyBorder="1" applyAlignment="1">
      <alignment horizontal="center"/>
    </xf>
    <xf numFmtId="171" fontId="39" fillId="7" borderId="2" xfId="1" applyNumberFormat="1" applyFont="1" applyFill="1" applyBorder="1" applyAlignment="1">
      <alignment horizontal="center"/>
    </xf>
    <xf numFmtId="0" fontId="44" fillId="0" borderId="4" xfId="0" applyFont="1" applyBorder="1" applyAlignment="1">
      <alignment vertical="center"/>
    </xf>
    <xf numFmtId="0" fontId="21" fillId="0" borderId="2" xfId="0" applyFont="1" applyBorder="1" applyAlignment="1">
      <alignment horizontal="right"/>
    </xf>
    <xf numFmtId="0" fontId="21" fillId="2" borderId="2" xfId="0" applyFont="1" applyFill="1" applyBorder="1" applyAlignment="1">
      <alignment horizontal="right"/>
    </xf>
    <xf numFmtId="0" fontId="21" fillId="2" borderId="2" xfId="0" quotePrefix="1" applyFont="1" applyFill="1" applyBorder="1" applyAlignment="1">
      <alignment horizontal="right"/>
    </xf>
    <xf numFmtId="9" fontId="0" fillId="0" borderId="0" xfId="0" applyNumberFormat="1"/>
    <xf numFmtId="1" fontId="0" fillId="0" borderId="0" xfId="0" applyNumberFormat="1"/>
    <xf numFmtId="172" fontId="0" fillId="0" borderId="0" xfId="0" applyNumberFormat="1"/>
    <xf numFmtId="49" fontId="40" fillId="17" borderId="2" xfId="0" applyNumberFormat="1" applyFont="1" applyFill="1" applyBorder="1" applyAlignment="1">
      <alignment horizontal="center" vertical="top" wrapText="1"/>
    </xf>
    <xf numFmtId="49" fontId="32" fillId="2" borderId="2" xfId="0" applyNumberFormat="1" applyFont="1" applyFill="1" applyBorder="1" applyAlignment="1">
      <alignment horizontal="center"/>
    </xf>
    <xf numFmtId="49" fontId="37" fillId="2" borderId="2" xfId="0" applyNumberFormat="1" applyFont="1" applyFill="1" applyBorder="1" applyAlignment="1">
      <alignment horizontal="center"/>
    </xf>
    <xf numFmtId="49" fontId="32" fillId="0" borderId="2" xfId="0" applyNumberFormat="1" applyFont="1" applyBorder="1" applyAlignment="1">
      <alignment horizontal="center"/>
    </xf>
    <xf numFmtId="49" fontId="21" fillId="2" borderId="5" xfId="0" applyNumberFormat="1" applyFont="1" applyFill="1" applyBorder="1" applyAlignment="1">
      <alignment horizontal="center"/>
    </xf>
    <xf numFmtId="49" fontId="32" fillId="6" borderId="2" xfId="0" applyNumberFormat="1" applyFont="1" applyFill="1" applyBorder="1" applyAlignment="1">
      <alignment horizontal="center"/>
    </xf>
    <xf numFmtId="173" fontId="0" fillId="0" borderId="0" xfId="0" applyNumberFormat="1"/>
    <xf numFmtId="171" fontId="21" fillId="10" borderId="2" xfId="0" applyNumberFormat="1" applyFont="1" applyFill="1" applyBorder="1" applyAlignment="1">
      <alignment horizontal="center"/>
    </xf>
    <xf numFmtId="0" fontId="45" fillId="0" borderId="0" xfId="0" applyFont="1" applyAlignment="1">
      <alignment horizontal="center"/>
    </xf>
    <xf numFmtId="168" fontId="38" fillId="11" borderId="2" xfId="0" applyNumberFormat="1" applyFont="1" applyFill="1" applyBorder="1" applyAlignment="1">
      <alignment horizontal="center" vertical="top"/>
    </xf>
    <xf numFmtId="0" fontId="0" fillId="0" borderId="0" xfId="0" applyAlignment="1">
      <alignment wrapText="1"/>
    </xf>
    <xf numFmtId="9" fontId="0" fillId="0" borderId="0" xfId="0" applyNumberFormat="1" applyAlignment="1">
      <alignment wrapText="1"/>
    </xf>
    <xf numFmtId="173" fontId="0" fillId="0" borderId="0" xfId="0" applyNumberFormat="1" applyAlignment="1">
      <alignment wrapText="1"/>
    </xf>
    <xf numFmtId="1" fontId="0" fillId="0" borderId="0" xfId="0" applyNumberFormat="1" applyAlignment="1">
      <alignment wrapText="1"/>
    </xf>
    <xf numFmtId="0" fontId="0" fillId="0" borderId="0" xfId="0" applyAlignment="1">
      <alignment horizontal="center" wrapText="1"/>
    </xf>
    <xf numFmtId="0" fontId="39" fillId="5" borderId="2" xfId="0" applyFont="1" applyFill="1" applyBorder="1" applyAlignment="1">
      <alignment horizontal="center"/>
    </xf>
    <xf numFmtId="0" fontId="41" fillId="2" borderId="5" xfId="2" applyFont="1" applyFill="1" applyBorder="1" applyAlignment="1" applyProtection="1"/>
    <xf numFmtId="0" fontId="32" fillId="0" borderId="5" xfId="0" applyFont="1" applyBorder="1" applyAlignment="1">
      <alignment horizontal="left"/>
    </xf>
    <xf numFmtId="0" fontId="0" fillId="0" borderId="16" xfId="0" applyBorder="1"/>
    <xf numFmtId="172" fontId="0" fillId="0" borderId="17" xfId="0" applyNumberFormat="1" applyBorder="1"/>
    <xf numFmtId="171" fontId="39" fillId="18" borderId="2" xfId="1" applyNumberFormat="1" applyFont="1" applyFill="1" applyBorder="1" applyAlignment="1">
      <alignment horizontal="center"/>
    </xf>
    <xf numFmtId="165" fontId="39" fillId="2" borderId="0" xfId="0" applyNumberFormat="1" applyFont="1" applyFill="1" applyAlignment="1">
      <alignment horizontal="center"/>
    </xf>
    <xf numFmtId="0" fontId="32" fillId="0" borderId="2" xfId="0" quotePrefix="1" applyFont="1" applyBorder="1" applyAlignment="1">
      <alignment horizontal="left"/>
    </xf>
    <xf numFmtId="0" fontId="46" fillId="2" borderId="2" xfId="0" applyFont="1" applyFill="1" applyBorder="1"/>
    <xf numFmtId="0" fontId="47" fillId="2" borderId="2" xfId="2" applyFont="1" applyFill="1" applyBorder="1" applyAlignment="1" applyProtection="1"/>
    <xf numFmtId="0" fontId="48" fillId="0" borderId="2" xfId="0" applyFont="1" applyBorder="1"/>
    <xf numFmtId="171" fontId="48" fillId="0" borderId="2" xfId="0" applyNumberFormat="1" applyFont="1" applyBorder="1" applyAlignment="1">
      <alignment horizontal="center"/>
    </xf>
    <xf numFmtId="0" fontId="48" fillId="0" borderId="2" xfId="0" applyFont="1" applyBorder="1" applyAlignment="1">
      <alignment horizontal="center"/>
    </xf>
    <xf numFmtId="0" fontId="43" fillId="2" borderId="5" xfId="0" applyFont="1" applyFill="1" applyBorder="1" applyAlignment="1">
      <alignment horizontal="center"/>
    </xf>
    <xf numFmtId="171" fontId="14" fillId="2" borderId="5" xfId="0" applyNumberFormat="1" applyFont="1" applyFill="1" applyBorder="1" applyAlignment="1">
      <alignment horizontal="center"/>
    </xf>
    <xf numFmtId="0" fontId="14" fillId="2" borderId="5" xfId="0" applyFont="1" applyFill="1" applyBorder="1" applyAlignment="1">
      <alignment horizontal="center"/>
    </xf>
  </cellXfs>
  <cellStyles count="3">
    <cellStyle name="Comma" xfId="1" builtinId="3"/>
    <cellStyle name="Hyperlink" xfId="2" builtinId="8"/>
    <cellStyle name="Normal" xfId="0" builtinId="0"/>
  </cellStyles>
  <dxfs count="18309">
    <dxf>
      <font>
        <color theme="2"/>
      </font>
      <fill>
        <patternFill>
          <bgColor rgb="FFFF0000"/>
        </patternFill>
      </fill>
    </dxf>
    <dxf>
      <font>
        <color rgb="FFFF0000"/>
      </font>
    </dxf>
    <dxf>
      <font>
        <color theme="1"/>
      </font>
      <fill>
        <patternFill patternType="solid">
          <bgColor rgb="FFCC9900"/>
        </patternFill>
      </fill>
    </dxf>
    <dxf>
      <font>
        <color theme="1"/>
      </font>
      <fill>
        <patternFill patternType="solid">
          <bgColor rgb="FF78CED2"/>
        </patternFill>
      </fill>
    </dxf>
    <dxf>
      <font>
        <color theme="1"/>
      </font>
      <fill>
        <patternFill patternType="solid">
          <bgColor rgb="FFFFFF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FFC000"/>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FFFF"/>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rgb="FFFFFF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rgb="FFFFFF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strike/>
        <color theme="1"/>
      </font>
      <fill>
        <patternFill patternType="solid">
          <bgColor rgb="FFD0CECE"/>
        </patternFill>
      </fill>
    </dxf>
    <dxf>
      <font>
        <color rgb="FF9C0006"/>
      </font>
      <fill>
        <patternFill>
          <bgColor rgb="FFFFC7CE"/>
        </patternFill>
      </fill>
    </dxf>
    <dxf>
      <font>
        <color rgb="FF9C0006"/>
      </font>
      <fill>
        <patternFill>
          <bgColor rgb="FFFFC7CE"/>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rgb="FF9C0006"/>
      </font>
      <fill>
        <patternFill>
          <bgColor rgb="FFFFC7CE"/>
        </patternFill>
      </fill>
    </dxf>
    <dxf>
      <font>
        <color rgb="FF9C0006"/>
      </font>
      <fill>
        <patternFill>
          <bgColor rgb="FFFFC7CE"/>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theme="0" tint="-0.34998626667073579"/>
        </patternFill>
      </fill>
    </dxf>
    <dxf>
      <font>
        <color theme="1"/>
      </font>
      <fill>
        <patternFill patternType="solid">
          <bgColor rgb="FFFFFF00"/>
        </patternFill>
      </fill>
    </dxf>
    <dxf>
      <font>
        <strike/>
        <color theme="1"/>
      </font>
      <fill>
        <patternFill patternType="solid">
          <bgColor rgb="FFD0CECE"/>
        </patternFill>
      </fill>
    </dxf>
    <dxf>
      <font>
        <color rgb="FFFF0000"/>
      </font>
    </dxf>
    <dxf>
      <fill>
        <patternFill>
          <bgColor rgb="FFFF0000"/>
        </patternFill>
      </fill>
    </dxf>
    <dxf>
      <font>
        <color rgb="FFFF0000"/>
      </font>
    </dxf>
    <dxf>
      <fill>
        <patternFill>
          <bgColor rgb="FFFF0000"/>
        </patternFill>
      </fill>
    </dxf>
    <dxf>
      <font>
        <color rgb="FFFF0000"/>
      </font>
    </dxf>
    <dxf>
      <fill>
        <patternFill>
          <bgColor rgb="FFFF0000"/>
        </patternFill>
      </fill>
    </dxf>
    <dxf>
      <font>
        <color rgb="FFFF0000"/>
      </font>
    </dxf>
    <dxf>
      <fill>
        <patternFill>
          <bgColor rgb="FFFF0000"/>
        </patternFill>
      </fill>
    </dxf>
    <dxf>
      <font>
        <strike/>
        <color theme="1"/>
      </font>
      <fill>
        <patternFill patternType="solid">
          <bgColor rgb="FFD0CECE"/>
        </patternFill>
      </fill>
    </dxf>
    <dxf>
      <font>
        <color rgb="FFFF0000"/>
      </font>
    </dxf>
    <dxf>
      <fill>
        <patternFill>
          <bgColor rgb="FFFF0000"/>
        </patternFill>
      </fill>
    </dxf>
    <dxf>
      <fill>
        <patternFill patternType="solid">
          <fgColor rgb="FFFFCCCC"/>
        </patternFill>
      </fill>
    </dxf>
    <dxf>
      <font>
        <color rgb="FFFF0000"/>
      </font>
    </dxf>
    <dxf>
      <fill>
        <patternFill>
          <bgColor rgb="FFFF00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E4DFEC"/>
        </patternFill>
      </fill>
    </dxf>
    <dxf>
      <font>
        <color theme="1"/>
      </font>
      <fill>
        <patternFill patternType="solid">
          <bgColor rgb="FFE4DFEC"/>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E4DFEC"/>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FF00"/>
        </patternFill>
      </fill>
    </dxf>
    <dxf>
      <font>
        <color theme="1"/>
      </font>
      <fill>
        <patternFill patternType="solid">
          <bgColor rgb="FFC29FE1"/>
        </patternFill>
      </fill>
    </dxf>
    <dxf>
      <font>
        <color theme="1"/>
      </font>
      <fill>
        <patternFill patternType="solid">
          <bgColor rgb="FFE4DFEC"/>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E4DFEC"/>
        </patternFill>
      </fill>
    </dxf>
    <dxf>
      <font>
        <color theme="1"/>
      </font>
      <fill>
        <patternFill patternType="solid">
          <bgColor rgb="FFE4DFEC"/>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color theme="1"/>
      </font>
      <fill>
        <patternFill patternType="solid">
          <bgColor rgb="FFE4DFEC"/>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E4DFEC"/>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29FE1"/>
        </patternFill>
      </fill>
    </dxf>
    <dxf>
      <font>
        <color theme="1"/>
      </font>
      <fill>
        <patternFill patternType="solid">
          <bgColor rgb="FFCC9900"/>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99CCFF"/>
        </patternFill>
      </fill>
    </dxf>
    <dxf>
      <font>
        <color theme="1"/>
      </font>
      <fill>
        <patternFill patternType="solid">
          <bgColor rgb="FFCC9900"/>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FFFF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color theme="1"/>
      </font>
      <fill>
        <patternFill patternType="solid">
          <bgColor rgb="FFCC9900"/>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FFC000"/>
        </patternFill>
      </fill>
    </dxf>
    <dxf>
      <font>
        <color theme="1"/>
      </font>
      <fill>
        <patternFill patternType="solid">
          <bgColor rgb="FFFFFF00"/>
        </patternFill>
      </fill>
    </dxf>
    <dxf>
      <font>
        <color theme="1"/>
      </font>
      <fill>
        <patternFill patternType="solid">
          <bgColor rgb="FFFFC0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CC9900"/>
        </patternFill>
      </fill>
    </dxf>
    <dxf>
      <font>
        <color theme="1"/>
      </font>
      <fill>
        <patternFill patternType="solid">
          <bgColor rgb="FFCCFFFF"/>
        </patternFill>
      </fill>
    </dxf>
    <dxf>
      <font>
        <color theme="1"/>
      </font>
      <fill>
        <patternFill patternType="solid">
          <bgColor rgb="FF99CCFF"/>
        </patternFill>
      </fill>
    </dxf>
    <dxf>
      <font>
        <strike/>
        <color theme="1"/>
      </font>
      <fill>
        <patternFill patternType="solid">
          <bgColor rgb="FFD0CECE"/>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C29FE1"/>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FFC000"/>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99CCFF"/>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FFC000"/>
        </patternFill>
      </fill>
    </dxf>
    <dxf>
      <font>
        <color theme="1"/>
      </font>
      <fill>
        <patternFill patternType="solid">
          <bgColor rgb="FFC29FE1"/>
        </patternFill>
      </fill>
    </dxf>
    <dxf>
      <font>
        <color theme="1"/>
      </font>
      <fill>
        <patternFill patternType="solid">
          <bgColor rgb="FF99CCFF"/>
        </patternFill>
      </fill>
    </dxf>
    <dxf>
      <font>
        <color theme="1"/>
      </font>
      <fill>
        <patternFill patternType="solid">
          <bgColor rgb="FFC29FE1"/>
        </patternFill>
      </fill>
    </dxf>
    <dxf>
      <font>
        <color theme="1"/>
      </font>
      <fill>
        <patternFill patternType="solid">
          <bgColor rgb="FFC29FE1"/>
        </patternFill>
      </fill>
    </dxf>
    <dxf>
      <font>
        <color theme="1"/>
      </font>
      <fill>
        <patternFill patternType="solid">
          <bgColor rgb="FFFFC000"/>
        </patternFill>
      </fill>
    </dxf>
    <dxf>
      <font>
        <color theme="1"/>
      </font>
      <fill>
        <patternFill patternType="solid">
          <bgColor rgb="FFC29FE1"/>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CC99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FFFF00"/>
        </patternFill>
      </fill>
    </dxf>
    <dxf>
      <font>
        <strike/>
        <color theme="1"/>
      </font>
      <fill>
        <patternFill patternType="solid">
          <bgColor rgb="FFD0CECE"/>
        </patternFill>
      </fill>
    </dxf>
    <dxf>
      <font>
        <strike/>
        <color theme="1"/>
      </font>
      <fill>
        <patternFill patternType="solid">
          <bgColor rgb="FFD0CECE"/>
        </patternFill>
      </fill>
    </dxf>
    <dxf>
      <font>
        <color theme="1"/>
      </font>
      <fill>
        <patternFill patternType="solid">
          <bgColor rgb="FF99CCFF"/>
        </patternFill>
      </fill>
    </dxf>
    <dxf>
      <font>
        <color theme="1"/>
      </font>
      <fill>
        <patternFill patternType="solid">
          <bgColor rgb="FFD0CECE"/>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FFFF00"/>
        </patternFill>
      </fill>
    </dxf>
    <dxf>
      <font>
        <color theme="1"/>
      </font>
      <fill>
        <patternFill patternType="solid">
          <bgColor theme="0"/>
        </patternFill>
      </fill>
    </dxf>
    <dxf>
      <font>
        <color theme="1"/>
      </font>
      <fill>
        <patternFill patternType="solid">
          <bgColor theme="0"/>
        </patternFill>
      </fill>
    </dxf>
    <dxf>
      <font>
        <color theme="1"/>
      </font>
      <fill>
        <patternFill patternType="solid">
          <bgColor rgb="FF92D050"/>
        </patternFill>
      </fill>
    </dxf>
    <dxf>
      <font>
        <color theme="1"/>
      </font>
      <fill>
        <patternFill patternType="solid">
          <bgColor rgb="FFFFCCCC"/>
        </patternFill>
      </fill>
    </dxf>
    <dxf>
      <font>
        <color theme="1"/>
      </font>
      <fill>
        <patternFill patternType="solid">
          <bgColor rgb="FF78CED2"/>
        </patternFill>
      </fill>
    </dxf>
    <dxf>
      <font>
        <color theme="1"/>
      </font>
      <fill>
        <patternFill patternType="solid">
          <bgColor rgb="FFFFC000"/>
        </patternFill>
      </fill>
    </dxf>
    <dxf>
      <font>
        <color theme="1"/>
      </font>
      <fill>
        <patternFill patternType="solid">
          <bgColor rgb="FFCC9900"/>
        </patternFill>
      </fill>
    </dxf>
    <dxf>
      <font>
        <color theme="1"/>
      </font>
      <fill>
        <patternFill patternType="solid">
          <bgColor rgb="FFCCFFFF"/>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FFFF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CC9900"/>
        </patternFill>
      </fill>
    </dxf>
    <dxf>
      <font>
        <color theme="1"/>
      </font>
      <fill>
        <patternFill patternType="solid">
          <bgColor rgb="FFFFFF00"/>
        </patternFill>
      </fill>
    </dxf>
    <dxf>
      <font>
        <color theme="1"/>
      </font>
      <fill>
        <patternFill patternType="solid">
          <bgColor rgb="FFFFFF00"/>
        </patternFill>
      </fill>
    </dxf>
    <dxf>
      <font>
        <strike/>
        <color theme="1"/>
      </font>
      <fill>
        <patternFill patternType="solid">
          <bgColor rgb="FFD0CECE"/>
        </patternFill>
      </fill>
    </dxf>
  </dxfs>
  <tableStyles count="1" defaultTableStyle="TableStyleMedium2" defaultPivotStyle="PivotStyleLight16">
    <tableStyle name="Invisible" pivot="0" table="0" count="0" xr9:uid="{653B5576-A5B4-4F9E-8A57-4B337AA33239}"/>
  </tableStyles>
  <colors>
    <mruColors>
      <color rgb="FF99CCFF"/>
      <color rgb="FFC29FE1"/>
      <color rgb="FFE4DFEC"/>
      <color rgb="FFFFCCCC"/>
      <color rgb="FFCC9900"/>
      <color rgb="FFFFC000"/>
      <color rgb="FF78CED2"/>
      <color rgb="FF92D050"/>
      <color rgb="FFCC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 RFQ's Received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(Month)'!$C$2:$C$13</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313E-4AEA-A417-90DA7B25EF67}"/>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(Month)'!$C$14:$C$25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313E-4AEA-A417-90DA7B25EF67}"/>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(Month)'!$C$26:$C$37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313E-4AEA-A417-90DA7B25EF67}"/>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(Month)'!$C$38:$C$49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313E-4AEA-A417-90DA7B25EF67}"/>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(Month)'!$C$50:$C$61</c:f>
              <c:numCache>
                <c:formatCode>General</c:formatCode>
                <c:ptCount val="12"/>
                <c:pt idx="0">
                  <c:v>#N/A</c:v>
                </c:pt>
                <c:pt idx="1">
                  <c:v>#N/A</c:v>
                </c:pt>
                <c:pt idx="2">
                  <c:v>#N/A</c:v>
                </c:pt>
                <c:pt idx="3">
                  <c:v>#N/A</c:v>
                </c:pt>
                <c:pt idx="4">
                  <c:v>#N/A</c:v>
                </c:pt>
              </c:numCache>
            </c:numRef>
          </c:val>
          <c:extLst>
            <c:ext xmlns:c16="http://schemas.microsoft.com/office/drawing/2014/chart" uri="{C3380CC4-5D6E-409C-BE32-E72D297353CC}">
              <c16:uniqueId val="{00000001-9CD0-4E90-8C58-4A9BFC4FB186}"/>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RFQ's Received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Sources of New Business (Jan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98-425E-A250-416B0DB7B7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98-425E-A250-416B0DB7B7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98-425E-A250-416B0DB7B7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98-425E-A250-416B0DB7B79C}"/>
              </c:ext>
            </c:extLst>
          </c:dPt>
          <c:cat>
            <c:strRef>
              <c:f>'KPIs (Month)'!$AA$1:$AD$1</c:f>
              <c:strCache>
                <c:ptCount val="4"/>
                <c:pt idx="0">
                  <c:v>Social Media Integrated Campaign</c:v>
                </c:pt>
                <c:pt idx="1">
                  <c:v>Phone Calls</c:v>
                </c:pt>
                <c:pt idx="2">
                  <c:v>Trade Shows</c:v>
                </c:pt>
                <c:pt idx="3">
                  <c:v>Referrals</c:v>
                </c:pt>
              </c:strCache>
            </c:strRef>
          </c:cat>
          <c:val>
            <c:numRef>
              <c:f>'KPIs (Month)'!$AA$50:$AD$50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6-8EFC-4076-9B75-24F6B04F9A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Sources of New Business (Feb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39-47DA-9603-5D0F26F262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39-47DA-9603-5D0F26F262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39-47DA-9603-5D0F26F262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39-47DA-9603-5D0F26F26239}"/>
              </c:ext>
            </c:extLst>
          </c:dPt>
          <c:cat>
            <c:strRef>
              <c:f>'KPIs (Month)'!$AA$1:$AD$1</c:f>
              <c:strCache>
                <c:ptCount val="4"/>
                <c:pt idx="0">
                  <c:v>Social Media Integrated Campaign</c:v>
                </c:pt>
                <c:pt idx="1">
                  <c:v>Phone Calls</c:v>
                </c:pt>
                <c:pt idx="2">
                  <c:v>Trade Shows</c:v>
                </c:pt>
                <c:pt idx="3">
                  <c:v>Referrals</c:v>
                </c:pt>
              </c:strCache>
            </c:strRef>
          </c:cat>
          <c:val>
            <c:numRef>
              <c:f>'KPIs (Month)'!$AA$51:$AD$51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0-3E04-4687-B8C6-5710A19DE5E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Sources of New Business (Mar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1C-4C78-A93F-9554AD0FF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1C-4C78-A93F-9554AD0FF4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1C-4C78-A93F-9554AD0FF4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1C-4C78-A93F-9554AD0FF4BD}"/>
              </c:ext>
            </c:extLst>
          </c:dPt>
          <c:cat>
            <c:strRef>
              <c:f>'KPIs (Month)'!$AA$1:$AD$1</c:f>
              <c:strCache>
                <c:ptCount val="4"/>
                <c:pt idx="0">
                  <c:v>Social Media Integrated Campaign</c:v>
                </c:pt>
                <c:pt idx="1">
                  <c:v>Phone Calls</c:v>
                </c:pt>
                <c:pt idx="2">
                  <c:v>Trade Shows</c:v>
                </c:pt>
                <c:pt idx="3">
                  <c:v>Referrals</c:v>
                </c:pt>
              </c:strCache>
            </c:strRef>
          </c:cat>
          <c:val>
            <c:numRef>
              <c:f>'KPIs (Month)'!$AA$52:$AD$52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0-560C-4249-BCB5-A8C4E8B2D4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Sources of New Business (Apr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82-4110-AD5A-6AA694C15F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82-4110-AD5A-6AA694C15F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82-4110-AD5A-6AA694C15F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82-4110-AD5A-6AA694C15F58}"/>
              </c:ext>
            </c:extLst>
          </c:dPt>
          <c:cat>
            <c:strRef>
              <c:f>'KPIs (Month)'!$AA$1:$AD$1</c:f>
              <c:strCache>
                <c:ptCount val="4"/>
                <c:pt idx="0">
                  <c:v>Social Media Integrated Campaign</c:v>
                </c:pt>
                <c:pt idx="1">
                  <c:v>Phone Calls</c:v>
                </c:pt>
                <c:pt idx="2">
                  <c:v>Trade Shows</c:v>
                </c:pt>
                <c:pt idx="3">
                  <c:v>Referrals</c:v>
                </c:pt>
              </c:strCache>
            </c:strRef>
          </c:cat>
          <c:val>
            <c:numRef>
              <c:f>'KPIs (Month)'!$AA$53:$AD$53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10-A65F-4056-978A-0ED0C57FB84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2B: Bookings Received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(Month)'!$H$2:$H$13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3FB9-48B5-911C-433D95D5E0E1}"/>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(Month)'!$H$14:$H$25</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3FB9-48B5-911C-433D95D5E0E1}"/>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(Month)'!$H$26:$H$37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3FB9-48B5-911C-433D95D5E0E1}"/>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(Month)'!$H$38:$H$49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3FB9-48B5-911C-433D95D5E0E1}"/>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(Month)'!$H$50:$H$61</c:f>
              <c:numCache>
                <c:formatCode>0</c:formatCode>
                <c:ptCount val="12"/>
                <c:pt idx="0">
                  <c:v>#N/A</c:v>
                </c:pt>
                <c:pt idx="1">
                  <c:v>#N/A</c:v>
                </c:pt>
                <c:pt idx="2">
                  <c:v>#N/A</c:v>
                </c:pt>
                <c:pt idx="3">
                  <c:v>#N/A</c:v>
                </c:pt>
                <c:pt idx="4">
                  <c:v>#N/A</c:v>
                </c:pt>
              </c:numCache>
            </c:numRef>
          </c:val>
          <c:extLst>
            <c:ext xmlns:c16="http://schemas.microsoft.com/office/drawing/2014/chart" uri="{C3380CC4-5D6E-409C-BE32-E72D297353CC}">
              <c16:uniqueId val="{00000004-3FB9-48B5-911C-433D95D5E0E1}"/>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Jobs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Sources of New Business (May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6C-480C-9711-61A647FB2E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C-480C-9711-61A647FB2E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6C-480C-9711-61A647FB2E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6C-480C-9711-61A647FB2E9D}"/>
              </c:ext>
            </c:extLst>
          </c:dPt>
          <c:cat>
            <c:strRef>
              <c:f>'KPIs (Month)'!$AA$1:$AD$1</c:f>
              <c:strCache>
                <c:ptCount val="4"/>
                <c:pt idx="0">
                  <c:v>Social Media Integrated Campaign</c:v>
                </c:pt>
                <c:pt idx="1">
                  <c:v>Phone Calls</c:v>
                </c:pt>
                <c:pt idx="2">
                  <c:v>Trade Shows</c:v>
                </c:pt>
                <c:pt idx="3">
                  <c:v>Referrals</c:v>
                </c:pt>
              </c:strCache>
            </c:strRef>
          </c:cat>
          <c:val>
            <c:numRef>
              <c:f>'KPIs (Month)'!$AA$54:$AD$54</c:f>
              <c:numCache>
                <c:formatCode>General</c:formatCode>
                <c:ptCount val="4"/>
                <c:pt idx="0">
                  <c:v>1</c:v>
                </c:pt>
                <c:pt idx="1">
                  <c:v>0</c:v>
                </c:pt>
                <c:pt idx="2">
                  <c:v>0</c:v>
                </c:pt>
                <c:pt idx="3">
                  <c:v>1</c:v>
                </c:pt>
              </c:numCache>
            </c:numRef>
          </c:val>
          <c:extLst>
            <c:ext xmlns:c16="http://schemas.microsoft.com/office/drawing/2014/chart" uri="{C3380CC4-5D6E-409C-BE32-E72D297353CC}">
              <c16:uniqueId val="{00000010-E4CF-470B-8690-0E566910467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RFQ's Sent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(Week)'!$F$2:$F$54</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741F-422D-9946-9EE1F9331318}"/>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(Week)'!$F$55:$F$107</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094F-4C34-A72A-CCD2C4E1C358}"/>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(Week)'!$F$108:$F$160</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094F-4C34-A72A-CCD2C4E1C358}"/>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(Week)'!$F$161:$F$213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094F-4C34-A72A-CCD2C4E1C358}"/>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(Week)'!$F$214:$F$266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0</c:v>
                </c:pt>
                <c:pt idx="19">
                  <c:v>0</c:v>
                </c:pt>
                <c:pt idx="20">
                  <c:v>4</c:v>
                </c:pt>
                <c:pt idx="21">
                  <c:v>2</c:v>
                </c:pt>
              </c:numCache>
            </c:numRef>
          </c:val>
          <c:extLst>
            <c:ext xmlns:c16="http://schemas.microsoft.com/office/drawing/2014/chart" uri="{C3380CC4-5D6E-409C-BE32-E72D297353CC}">
              <c16:uniqueId val="{00000001-57BA-4984-AFBA-CDDE14B07856}"/>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RFQ's Sent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RFQ's Received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(Week)'!$D$2:$D$54</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4EAF-424B-990D-3C19CC71C4CB}"/>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(Week)'!$D$55:$D$107</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4EAF-424B-990D-3C19CC71C4CB}"/>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(Week)'!$D$108:$D$160</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4EAF-424B-990D-3C19CC71C4CB}"/>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(Week)'!$D$161:$D$213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4EAF-424B-990D-3C19CC71C4CB}"/>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(Week)'!$D$214:$D$266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2</c:v>
                </c:pt>
                <c:pt idx="14">
                  <c:v>0</c:v>
                </c:pt>
                <c:pt idx="15">
                  <c:v>0</c:v>
                </c:pt>
                <c:pt idx="16">
                  <c:v>0</c:v>
                </c:pt>
                <c:pt idx="17">
                  <c:v>0</c:v>
                </c:pt>
                <c:pt idx="18">
                  <c:v>4</c:v>
                </c:pt>
                <c:pt idx="19">
                  <c:v>0</c:v>
                </c:pt>
                <c:pt idx="20">
                  <c:v>0</c:v>
                </c:pt>
                <c:pt idx="21">
                  <c:v>6</c:v>
                </c:pt>
              </c:numCache>
            </c:numRef>
          </c:val>
          <c:extLst>
            <c:ext xmlns:c16="http://schemas.microsoft.com/office/drawing/2014/chart" uri="{C3380CC4-5D6E-409C-BE32-E72D297353CC}">
              <c16:uniqueId val="{00000001-190C-4DD0-A4FF-28D9BDB349F2}"/>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RFQ's Received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 Rate per RFQ's Received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(Week)'!$J$2:$J$54</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D374-445A-8495-E81780DBAE08}"/>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(Week)'!$J$55:$J$107</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D374-445A-8495-E81780DBAE08}"/>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(Week)'!$J$108:$J$160</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37A6-4EA0-B57B-6D53CA793E3F}"/>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(Week)'!$J$161:$J$213</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D374-445A-8495-E81780DBAE08}"/>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(Week)'!$J$214:$J$266</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0.16666666666666666</c:v>
                </c:pt>
              </c:numCache>
            </c:numRef>
          </c:val>
          <c:extLst>
            <c:ext xmlns:c16="http://schemas.microsoft.com/office/drawing/2014/chart" uri="{C3380CC4-5D6E-409C-BE32-E72D297353CC}">
              <c16:uniqueId val="{00000001-30E3-431B-BA63-54828F19CD03}"/>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 Rate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Jobs per RFQ's Received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(Week)'!$N$2:$N$54</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9120-4D4E-BC65-2F7AB317D2E4}"/>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(Week)'!$N$55:$N$107</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9120-4D4E-BC65-2F7AB317D2E4}"/>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(Week)'!$N$108:$N$160</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9120-4D4E-BC65-2F7AB317D2E4}"/>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(Week)'!$N$161:$N$213</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9120-4D4E-BC65-2F7AB317D2E4}"/>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(Week)'!$N$214:$N$266</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1</c:v>
                </c:pt>
                <c:pt idx="19">
                  <c:v>0</c:v>
                </c:pt>
                <c:pt idx="20">
                  <c:v>0</c:v>
                </c:pt>
                <c:pt idx="21">
                  <c:v>0.66666666666666663</c:v>
                </c:pt>
              </c:numCache>
            </c:numRef>
          </c:val>
          <c:extLst>
            <c:ext xmlns:c16="http://schemas.microsoft.com/office/drawing/2014/chart" uri="{C3380CC4-5D6E-409C-BE32-E72D297353CC}">
              <c16:uniqueId val="{00000001-C73C-438B-8890-F0F502D25A1F}"/>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Jobs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2A: RFQ's Sent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(Month)'!$E$2:$E$13</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1BC8-4253-8D57-52ADE2912CA4}"/>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(Month)'!$E$14:$E$25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1BC8-4253-8D57-52ADE2912CA4}"/>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(Month)'!$E$26:$E$37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1BC8-4253-8D57-52ADE2912CA4}"/>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(Month)'!$E$38:$E$49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1BC8-4253-8D57-52ADE2912CA4}"/>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(Month)'!$E$50:$E$61</c:f>
              <c:numCache>
                <c:formatCode>General</c:formatCode>
                <c:ptCount val="12"/>
                <c:pt idx="0">
                  <c:v>#N/A</c:v>
                </c:pt>
                <c:pt idx="1">
                  <c:v>#N/A</c:v>
                </c:pt>
                <c:pt idx="2">
                  <c:v>#N/A</c:v>
                </c:pt>
                <c:pt idx="3">
                  <c:v>#N/A</c:v>
                </c:pt>
                <c:pt idx="4">
                  <c:v>#N/A</c:v>
                </c:pt>
              </c:numCache>
            </c:numRef>
          </c:val>
          <c:extLst>
            <c:ext xmlns:c16="http://schemas.microsoft.com/office/drawing/2014/chart" uri="{C3380CC4-5D6E-409C-BE32-E72D297353CC}">
              <c16:uniqueId val="{00000001-AF05-4356-9B05-42A5AD6E977F}"/>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RFQ's Sent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Total per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(Week)'!$P$2:$P$54</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9EF5-4CFD-A65A-F1F575CDCC14}"/>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(Week)'!$P$55:$P$107</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9EF5-4CFD-A65A-F1F575CDCC14}"/>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(Week)'!$P$108:$P$160</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9EF5-4CFD-A65A-F1F575CDCC14}"/>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(Week)'!$P$161:$P$213</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9EF5-4CFD-A65A-F1F575CDCC14}"/>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(Week)'!$P$214:$P$266</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528.6</c:v>
                </c:pt>
              </c:numCache>
            </c:numRef>
          </c:val>
          <c:extLst>
            <c:ext xmlns:c16="http://schemas.microsoft.com/office/drawing/2014/chart" uri="{C3380CC4-5D6E-409C-BE32-E72D297353CC}">
              <c16:uniqueId val="{00000001-7231-4D14-B057-945CF960B426}"/>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Total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Won RFQ's Per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(Week)'!$H$2:$H$54</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89B3-48B4-90BF-FF8510D399CF}"/>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(Week)'!$H$55:$H$107</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89B3-48B4-90BF-FF8510D399CF}"/>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(Week)'!$H$108:$H$160</c:f>
              <c:numCache>
                <c:formatCode>General</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89B3-48B4-90BF-FF8510D399CF}"/>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(Week)'!$H$161:$H$213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89B3-48B4-90BF-FF8510D399CF}"/>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(Week)'!$H$214:$H$266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numCache>
            </c:numRef>
          </c:val>
          <c:extLst>
            <c:ext xmlns:c16="http://schemas.microsoft.com/office/drawing/2014/chart" uri="{C3380CC4-5D6E-409C-BE32-E72D297353CC}">
              <c16:uniqueId val="{00000001-3478-4902-BFEB-18DA70C6346D}"/>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Won RFQ's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Total per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(Week)'!$R$2:$R$54</c:f>
              <c:numCache>
                <c:formatCode>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D80D-423E-8CD1-62775FA40360}"/>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(Week)'!$R$55:$R$107</c:f>
              <c:numCache>
                <c:formatCode>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D80D-423E-8CD1-62775FA40360}"/>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(Week)'!$R$108:$R$160</c:f>
              <c:numCache>
                <c:formatCode>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D80D-423E-8CD1-62775FA40360}"/>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(Week)'!$R$161:$R$213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D80D-423E-8CD1-62775FA40360}"/>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(Week)'!$R$214:$R$266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4-D80D-423E-8CD1-62775FA40360}"/>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Total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Quoted per Week ($)</a:t>
            </a:r>
          </a:p>
        </c:rich>
      </c:tx>
      <c:layout>
        <c:manualLayout>
          <c:xMode val="edge"/>
          <c:yMode val="edge"/>
          <c:x val="0.34628442945474985"/>
          <c:y val="2.717391304347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(Week)'!$T$2:$T$54</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DB11-453C-832D-011A81651328}"/>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(Week)'!$T$55:$T$107</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DB11-453C-832D-011A81651328}"/>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(Week)'!$T$108:$T$160</c:f>
              <c:numCache>
                <c:formatCode>"$"#,##0.00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DB11-453C-832D-011A81651328}"/>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(Week)'!$T$161:$T$213</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DB11-453C-832D-011A81651328}"/>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(Week)'!$T$214:$T$266</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528.6</c:v>
                </c:pt>
              </c:numCache>
            </c:numRef>
          </c:val>
          <c:extLst>
            <c:ext xmlns:c16="http://schemas.microsoft.com/office/drawing/2014/chart" uri="{C3380CC4-5D6E-409C-BE32-E72D297353CC}">
              <c16:uniqueId val="{00000004-DB11-453C-832D-011A81651328}"/>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YTD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YTD Quoted per Week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(Week)'!$V$2:$V$54</c:f>
              <c:numCache>
                <c:formatCode>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0-3EA5-49B3-AE32-DCF7677E9E19}"/>
            </c:ext>
          </c:extLst>
        </c:ser>
        <c:ser>
          <c:idx val="1"/>
          <c:order val="1"/>
          <c:tx>
            <c:strRef>
              <c:f>{"2022"}</c:f>
              <c:strCache>
                <c:ptCount val="1"/>
                <c:pt idx="0">
                  <c:v>2022</c:v>
                </c:pt>
              </c:strCache>
            </c:strRef>
          </c:tx>
          <c:spPr>
            <a:solidFill>
              <a:schemeClr val="accent2"/>
            </a:solidFill>
            <a:ln>
              <a:solidFill>
                <a:srgbClr val="BFBFBF"/>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(Week)'!$V$55:$V$107</c:f>
              <c:numCache>
                <c:formatCode>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1-3EA5-49B3-AE32-DCF7677E9E19}"/>
            </c:ext>
          </c:extLst>
        </c:ser>
        <c:ser>
          <c:idx val="2"/>
          <c:order val="2"/>
          <c:tx>
            <c:strRef>
              <c:f>{"2023"}</c:f>
              <c:strCache>
                <c:ptCount val="1"/>
                <c:pt idx="0">
                  <c:v>2023</c:v>
                </c:pt>
              </c:strCache>
            </c:strRef>
          </c:tx>
          <c:spPr>
            <a:solidFill>
              <a:schemeClr val="accent3"/>
            </a:solidFill>
            <a:ln>
              <a:solidFill>
                <a:srgbClr val="FF000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(Week)'!$V$108:$V$160</c:f>
              <c:numCache>
                <c:formatCode>0%</c:formatCode>
                <c:ptCount val="5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numCache>
            </c:numRef>
          </c:val>
          <c:extLst>
            <c:ext xmlns:c16="http://schemas.microsoft.com/office/drawing/2014/chart" uri="{C3380CC4-5D6E-409C-BE32-E72D297353CC}">
              <c16:uniqueId val="{00000002-3EA5-49B3-AE32-DCF7677E9E19}"/>
            </c:ext>
          </c:extLst>
        </c:ser>
        <c:ser>
          <c:idx val="3"/>
          <c:order val="3"/>
          <c:tx>
            <c:strRef>
              <c:f>{"2024"}</c:f>
              <c:strCache>
                <c:ptCount val="1"/>
                <c:pt idx="0">
                  <c:v>2024</c:v>
                </c:pt>
              </c:strCache>
            </c:strRef>
          </c:tx>
          <c:spPr>
            <a:solidFill>
              <a:schemeClr val="accent4"/>
            </a:solidFill>
            <a:ln>
              <a:solidFill>
                <a:srgbClr val="92D050"/>
              </a:solidFill>
              <a:prstDash val="solid"/>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(Week)'!$V$161:$V$213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3EA5-49B3-AE32-DCF7677E9E19}"/>
            </c:ext>
          </c:extLst>
        </c:ser>
        <c:ser>
          <c:idx val="4"/>
          <c:order val="4"/>
          <c:tx>
            <c:strRef>
              <c:f>{"2025"}</c:f>
              <c:strCache>
                <c:ptCount val="1"/>
                <c:pt idx="0">
                  <c:v>2025</c:v>
                </c:pt>
              </c:strCache>
            </c:strRef>
          </c:tx>
          <c:spPr>
            <a:solidFill>
              <a:schemeClr val="accent5"/>
            </a:solidFill>
            <a:ln>
              <a:noFill/>
            </a:ln>
            <a:effectLst/>
          </c:spPr>
          <c:invertIfNegative val="0"/>
          <c:cat>
            <c:numRef>
              <c:f>'KPIs (Week)'!$B$2:$B$54</c:f>
              <c:numCache>
                <c:formatCode>0</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'KPIs (Week)'!$V$214:$V$266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4-3EA5-49B3-AE32-DCF7677E9E19}"/>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YTD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0.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3A: Win Rate per RFQ's Received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(Month)'!$J$2:$J$13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364E-4125-98A7-B5E7BE07733C}"/>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(Month)'!$J$14:$J$25</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364E-4125-98A7-B5E7BE07733C}"/>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(Month)'!$J$26:$J$37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364E-4125-98A7-B5E7BE07733C}"/>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(Month)'!$J$38:$J$49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364E-4125-98A7-B5E7BE07733C}"/>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(Month)'!$J$50:$J$61</c:f>
              <c:numCache>
                <c:formatCode>0%</c:formatCode>
                <c:ptCount val="12"/>
                <c:pt idx="0">
                  <c:v>#N/A</c:v>
                </c:pt>
                <c:pt idx="1">
                  <c:v>#N/A</c:v>
                </c:pt>
                <c:pt idx="2">
                  <c:v>#N/A</c:v>
                </c:pt>
                <c:pt idx="3">
                  <c:v>#N/A</c:v>
                </c:pt>
                <c:pt idx="4">
                  <c:v>#N/A</c:v>
                </c:pt>
              </c:numCache>
            </c:numRef>
          </c:val>
          <c:extLst>
            <c:ext xmlns:c16="http://schemas.microsoft.com/office/drawing/2014/chart" uri="{C3380CC4-5D6E-409C-BE32-E72D297353CC}">
              <c16:uniqueId val="{00000001-3AD0-48EB-9568-98B7E6408E53}"/>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Win Rate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1B: New Jobs per RFQ's Received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(Month)'!$N$2:$N$13</c:f>
              <c:numCache>
                <c:formatCode>0.00%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4D53-44E6-899F-61C2833EDE0B}"/>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(Month)'!$N$14:$N$25</c:f>
              <c:numCache>
                <c:formatCode>0.00%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4D53-44E6-899F-61C2833EDE0B}"/>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(Month)'!$N$26:$N$37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D53-44E6-899F-61C2833EDE0B}"/>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(Month)'!$N$38:$N$49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D53-44E6-899F-61C2833EDE0B}"/>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(Month)'!$N$50:$N$61</c:f>
              <c:numCache>
                <c:formatCode>0.00%</c:formatCode>
                <c:ptCount val="12"/>
                <c:pt idx="0">
                  <c:v>#N/A</c:v>
                </c:pt>
                <c:pt idx="1">
                  <c:v>#N/A</c:v>
                </c:pt>
                <c:pt idx="2">
                  <c:v>#N/A</c:v>
                </c:pt>
                <c:pt idx="3">
                  <c:v>#N/A</c:v>
                </c:pt>
                <c:pt idx="4">
                  <c:v>#N/A</c:v>
                </c:pt>
              </c:numCache>
            </c:numRef>
          </c:val>
          <c:extLst>
            <c:ext xmlns:c16="http://schemas.microsoft.com/office/drawing/2014/chart" uri="{C3380CC4-5D6E-409C-BE32-E72D297353CC}">
              <c16:uniqueId val="{00000001-6F36-49EF-8C97-84BC00EF94E0}"/>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New Jobs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4C: Purchased Total per Month ($)</a:t>
            </a:r>
          </a:p>
        </c:rich>
      </c:tx>
      <c:layout>
        <c:manualLayout>
          <c:xMode val="edge"/>
          <c:yMode val="edge"/>
          <c:x val="0.3990720714157997"/>
          <c:y val="1.72786177105831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(Month)'!$P$2:$P$13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9159-4294-B689-46130E01DFCD}"/>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(Month)'!$P$14:$P$25</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9159-4294-B689-46130E01DFCD}"/>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(Month)'!$P$26:$P$37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9159-4294-B689-46130E01DFCD}"/>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(Month)'!$P$38:$P$49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9159-4294-B689-46130E01DFCD}"/>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(Month)'!$P$50:$P$61</c:f>
              <c:numCache>
                <c:formatCode>"$"#,##0</c:formatCode>
                <c:ptCount val="12"/>
                <c:pt idx="0">
                  <c:v>#N/A</c:v>
                </c:pt>
                <c:pt idx="1">
                  <c:v>#N/A</c:v>
                </c:pt>
                <c:pt idx="2">
                  <c:v>#N/A</c:v>
                </c:pt>
                <c:pt idx="3">
                  <c:v>#N/A</c:v>
                </c:pt>
                <c:pt idx="4">
                  <c:v>#N/A</c:v>
                </c:pt>
              </c:numCache>
            </c:numRef>
          </c:val>
          <c:extLst>
            <c:ext xmlns:c16="http://schemas.microsoft.com/office/drawing/2014/chart" uri="{C3380CC4-5D6E-409C-BE32-E72D297353CC}">
              <c16:uniqueId val="{00000001-48AF-417B-847F-8DA6E70DC796}"/>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Total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3B: Won RFQ's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(Month)'!$F$2:$F$13</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E240-4A89-9890-D5809FF42513}"/>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(Month)'!$F$14:$F$25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E240-4A89-9890-D5809FF42513}"/>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(Month)'!$F$26:$F$37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E240-4A89-9890-D5809FF42513}"/>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(Month)'!$F$38:$F$49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E240-4A89-9890-D5809FF42513}"/>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(Month)'!$F$50:$F$61</c:f>
              <c:numCache>
                <c:formatCode>General</c:formatCode>
                <c:ptCount val="12"/>
                <c:pt idx="0">
                  <c:v>0</c:v>
                </c:pt>
                <c:pt idx="1">
                  <c:v>0</c:v>
                </c:pt>
                <c:pt idx="2">
                  <c:v>0</c:v>
                </c:pt>
                <c:pt idx="3">
                  <c:v>0</c:v>
                </c:pt>
                <c:pt idx="4">
                  <c:v>1</c:v>
                </c:pt>
              </c:numCache>
            </c:numRef>
          </c:val>
          <c:extLst>
            <c:ext xmlns:c16="http://schemas.microsoft.com/office/drawing/2014/chart" uri="{C3380CC4-5D6E-409C-BE32-E72D297353CC}">
              <c16:uniqueId val="{00000001-6688-41AA-A10D-5C3ECF8C6B11}"/>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Won RFQ's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4D: Purchased Total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(Month)'!$R$2:$R$13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6DF9-4969-9D9F-798EC50B53C8}"/>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(Month)'!$R$14:$R$25</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6DF9-4969-9D9F-798EC50B53C8}"/>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(Month)'!$R$26:$R$37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DF9-4969-9D9F-798EC50B53C8}"/>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(Month)'!$R$38:$R$49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6DF9-4969-9D9F-798EC50B53C8}"/>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(Month)'!$R$50:$R$61</c:f>
              <c:numCache>
                <c:formatCode>0%</c:formatCode>
                <c:ptCount val="12"/>
                <c:pt idx="0">
                  <c:v>#N/A</c:v>
                </c:pt>
                <c:pt idx="1">
                  <c:v>#N/A</c:v>
                </c:pt>
                <c:pt idx="2">
                  <c:v>#N/A</c:v>
                </c:pt>
                <c:pt idx="3">
                  <c:v>#N/A</c:v>
                </c:pt>
                <c:pt idx="4">
                  <c:v>#N/A</c:v>
                </c:pt>
              </c:numCache>
            </c:numRef>
          </c:val>
          <c:extLst>
            <c:ext xmlns:c16="http://schemas.microsoft.com/office/drawing/2014/chart" uri="{C3380CC4-5D6E-409C-BE32-E72D297353CC}">
              <c16:uniqueId val="{00000004-6DF9-4969-9D9F-798EC50B53C8}"/>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Total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0.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4A: YTD PO Value ($)</a:t>
            </a:r>
          </a:p>
        </c:rich>
      </c:tx>
      <c:layout>
        <c:manualLayout>
          <c:xMode val="edge"/>
          <c:yMode val="edge"/>
          <c:x val="0.36227495332183651"/>
          <c:y val="2.0618556701030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(Month)'!$T$2:$T$13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D114-4432-85FE-25DADF1C5783}"/>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(Month)'!$T$14:$T$25</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D114-4432-85FE-25DADF1C5783}"/>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(Month)'!$T$26:$T$37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114-4432-85FE-25DADF1C5783}"/>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(Month)'!$T$38:$T$49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114-4432-85FE-25DADF1C5783}"/>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(Month)'!$T$50:$T$61</c:f>
              <c:numCache>
                <c:formatCode>"$"#,##0</c:formatCode>
                <c:ptCount val="12"/>
                <c:pt idx="0">
                  <c:v>#N/A</c:v>
                </c:pt>
                <c:pt idx="1">
                  <c:v>#N/A</c:v>
                </c:pt>
                <c:pt idx="2">
                  <c:v>#N/A</c:v>
                </c:pt>
                <c:pt idx="3">
                  <c:v>#N/A</c:v>
                </c:pt>
                <c:pt idx="4">
                  <c:v>#N/A</c:v>
                </c:pt>
              </c:numCache>
            </c:numRef>
          </c:val>
          <c:extLst>
            <c:ext xmlns:c16="http://schemas.microsoft.com/office/drawing/2014/chart" uri="{C3380CC4-5D6E-409C-BE32-E72D297353CC}">
              <c16:uniqueId val="{00000004-D114-4432-85FE-25DADF1C5783}"/>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YTD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25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4B: YTD PO Value Compared to Last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(Month)'!$V$2:$V$13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300D-415A-9B49-CDBAA86E1E7F}"/>
            </c:ext>
          </c:extLst>
        </c:ser>
        <c:ser>
          <c:idx val="1"/>
          <c:order val="1"/>
          <c:tx>
            <c:v>2022</c:v>
          </c:tx>
          <c:spPr>
            <a:solidFill>
              <a:schemeClr val="accent2"/>
            </a:solidFill>
            <a:ln>
              <a:solidFill>
                <a:srgbClr val="BFBFBF"/>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(Month)'!$V$14:$V$25</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300D-415A-9B49-CDBAA86E1E7F}"/>
            </c:ext>
          </c:extLst>
        </c:ser>
        <c:ser>
          <c:idx val="2"/>
          <c:order val="2"/>
          <c:tx>
            <c:v>2023</c:v>
          </c:tx>
          <c:spPr>
            <a:solidFill>
              <a:schemeClr val="accent3"/>
            </a:solidFill>
            <a:ln>
              <a:solidFill>
                <a:srgbClr val="FF000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(Month)'!$V$26:$V$37</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300D-415A-9B49-CDBAA86E1E7F}"/>
            </c:ext>
          </c:extLst>
        </c:ser>
        <c:ser>
          <c:idx val="3"/>
          <c:order val="3"/>
          <c:tx>
            <c:v>2024</c:v>
          </c:tx>
          <c:spPr>
            <a:solidFill>
              <a:schemeClr val="accent4"/>
            </a:solidFill>
            <a:ln>
              <a:solidFill>
                <a:srgbClr val="92D050"/>
              </a:solidFill>
              <a:prstDash val="solid"/>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(Month)'!$V$38:$V$49</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300D-415A-9B49-CDBAA86E1E7F}"/>
            </c:ext>
          </c:extLst>
        </c:ser>
        <c:ser>
          <c:idx val="4"/>
          <c:order val="4"/>
          <c:tx>
            <c:strRef>
              <c:f>{"2025"}</c:f>
              <c:strCache>
                <c:ptCount val="1"/>
                <c:pt idx="0">
                  <c:v>2025</c:v>
                </c:pt>
              </c:strCache>
            </c:strRef>
          </c:tx>
          <c:spPr>
            <a:solidFill>
              <a:schemeClr val="accent5"/>
            </a:solidFill>
            <a:ln>
              <a:noFill/>
            </a:ln>
            <a:effectLst/>
          </c:spPr>
          <c:invertIfNegative val="0"/>
          <c:cat>
            <c:strRef>
              <c:f>'KPIs (Month)'!$AZ$2:$AZ$13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'KPIs (Month)'!$V$50:$V$61</c:f>
              <c:numCache>
                <c:formatCode>0%</c:formatCode>
                <c:ptCount val="12"/>
                <c:pt idx="0">
                  <c:v>#N/A</c:v>
                </c:pt>
                <c:pt idx="1">
                  <c:v>#N/A</c:v>
                </c:pt>
                <c:pt idx="2">
                  <c:v>#N/A</c:v>
                </c:pt>
                <c:pt idx="3">
                  <c:v>#N/A</c:v>
                </c:pt>
                <c:pt idx="4">
                  <c:v>#N/A</c:v>
                </c:pt>
              </c:numCache>
            </c:numRef>
          </c:val>
          <c:extLst>
            <c:ext xmlns:c16="http://schemas.microsoft.com/office/drawing/2014/chart" uri="{C3380CC4-5D6E-409C-BE32-E72D297353CC}">
              <c16:uniqueId val="{00000004-300D-415A-9B49-CDBAA86E1E7F}"/>
            </c:ext>
          </c:extLst>
        </c:ser>
        <c:dLbls>
          <c:showLegendKey val="0"/>
          <c:showVal val="0"/>
          <c:showCatName val="0"/>
          <c:showSerName val="0"/>
          <c:showPercent val="0"/>
          <c:showBubbleSize val="0"/>
        </c:dLbls>
        <c:gapWidth val="150"/>
        <c:axId val="744103807"/>
        <c:axId val="744106687"/>
      </c:barChart>
      <c:catAx>
        <c:axId val="74410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6687"/>
        <c:crosses val="autoZero"/>
        <c:auto val="1"/>
        <c:lblAlgn val="ctr"/>
        <c:lblOffset val="100"/>
        <c:noMultiLvlLbl val="1"/>
      </c:catAx>
      <c:valAx>
        <c:axId val="744106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YTD Sales per Month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103807"/>
        <c:crosses val="autoZero"/>
        <c:crossBetween val="between"/>
        <c:minorUnit val="0.0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41</xdr:col>
      <xdr:colOff>47625</xdr:colOff>
      <xdr:row>1</xdr:row>
      <xdr:rowOff>0</xdr:rowOff>
    </xdr:from>
    <xdr:to>
      <xdr:col>50</xdr:col>
      <xdr:colOff>171450</xdr:colOff>
      <xdr:row>20</xdr:row>
      <xdr:rowOff>85725</xdr:rowOff>
    </xdr:to>
    <xdr:graphicFrame macro="">
      <xdr:nvGraphicFramePr>
        <xdr:cNvPr id="38" name="Chart 1">
          <a:extLst>
            <a:ext uri="{FF2B5EF4-FFF2-40B4-BE49-F238E27FC236}">
              <a16:creationId xmlns:a16="http://schemas.microsoft.com/office/drawing/2014/main" id="{B1CCD7C9-7513-42EE-BEF4-3EF733EF7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28575</xdr:colOff>
      <xdr:row>20</xdr:row>
      <xdr:rowOff>95250</xdr:rowOff>
    </xdr:from>
    <xdr:to>
      <xdr:col>50</xdr:col>
      <xdr:colOff>209550</xdr:colOff>
      <xdr:row>39</xdr:row>
      <xdr:rowOff>152400</xdr:rowOff>
    </xdr:to>
    <xdr:graphicFrame macro="">
      <xdr:nvGraphicFramePr>
        <xdr:cNvPr id="22" name="Chart 2">
          <a:extLst>
            <a:ext uri="{FF2B5EF4-FFF2-40B4-BE49-F238E27FC236}">
              <a16:creationId xmlns:a16="http://schemas.microsoft.com/office/drawing/2014/main" id="{DE39EE3E-FCD4-4E1F-AB9D-4168C4E97745}"/>
            </a:ext>
            <a:ext uri="{147F2762-F138-4A5C-976F-8EAC2B608ADB}">
              <a16:predDERef xmlns:a16="http://schemas.microsoft.com/office/drawing/2014/main" pred="{B1CCD7C9-7513-42EE-BEF4-3EF733EF7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66675</xdr:colOff>
      <xdr:row>40</xdr:row>
      <xdr:rowOff>66675</xdr:rowOff>
    </xdr:from>
    <xdr:to>
      <xdr:col>50</xdr:col>
      <xdr:colOff>190500</xdr:colOff>
      <xdr:row>59</xdr:row>
      <xdr:rowOff>142875</xdr:rowOff>
    </xdr:to>
    <xdr:graphicFrame macro="">
      <xdr:nvGraphicFramePr>
        <xdr:cNvPr id="51" name="Chart 3">
          <a:extLst>
            <a:ext uri="{FF2B5EF4-FFF2-40B4-BE49-F238E27FC236}">
              <a16:creationId xmlns:a16="http://schemas.microsoft.com/office/drawing/2014/main" id="{89E40C14-3F9A-4CA7-B63D-E6BB0FF9C15B}"/>
            </a:ext>
            <a:ext uri="{147F2762-F138-4A5C-976F-8EAC2B608ADB}">
              <a16:predDERef xmlns:a16="http://schemas.microsoft.com/office/drawing/2014/main" pred="{DE39EE3E-FCD4-4E1F-AB9D-4168C4E97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228600</xdr:colOff>
      <xdr:row>1</xdr:row>
      <xdr:rowOff>0</xdr:rowOff>
    </xdr:from>
    <xdr:to>
      <xdr:col>60</xdr:col>
      <xdr:colOff>352425</xdr:colOff>
      <xdr:row>20</xdr:row>
      <xdr:rowOff>66675</xdr:rowOff>
    </xdr:to>
    <xdr:graphicFrame macro="">
      <xdr:nvGraphicFramePr>
        <xdr:cNvPr id="5" name="Chart 1">
          <a:extLst>
            <a:ext uri="{FF2B5EF4-FFF2-40B4-BE49-F238E27FC236}">
              <a16:creationId xmlns:a16="http://schemas.microsoft.com/office/drawing/2014/main" id="{04A236B1-9A4F-441C-AE3F-BBD698356482}"/>
            </a:ext>
            <a:ext uri="{147F2762-F138-4A5C-976F-8EAC2B608ADB}">
              <a16:predDERef xmlns:a16="http://schemas.microsoft.com/office/drawing/2014/main" pred="{89E40C14-3F9A-4CA7-B63D-E6BB0FF9C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114300</xdr:colOff>
      <xdr:row>79</xdr:row>
      <xdr:rowOff>180975</xdr:rowOff>
    </xdr:from>
    <xdr:to>
      <xdr:col>60</xdr:col>
      <xdr:colOff>466725</xdr:colOff>
      <xdr:row>103</xdr:row>
      <xdr:rowOff>19050</xdr:rowOff>
    </xdr:to>
    <xdr:graphicFrame macro="">
      <xdr:nvGraphicFramePr>
        <xdr:cNvPr id="6" name="Chart 2">
          <a:extLst>
            <a:ext uri="{FF2B5EF4-FFF2-40B4-BE49-F238E27FC236}">
              <a16:creationId xmlns:a16="http://schemas.microsoft.com/office/drawing/2014/main" id="{23DD3863-9CA3-4858-91FA-56246C80358E}"/>
            </a:ext>
            <a:ext uri="{147F2762-F138-4A5C-976F-8EAC2B608ADB}">
              <a16:predDERef xmlns:a16="http://schemas.microsoft.com/office/drawing/2014/main" pred="{04A236B1-9A4F-441C-AE3F-BBD69835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257175</xdr:colOff>
      <xdr:row>40</xdr:row>
      <xdr:rowOff>66675</xdr:rowOff>
    </xdr:from>
    <xdr:to>
      <xdr:col>60</xdr:col>
      <xdr:colOff>381000</xdr:colOff>
      <xdr:row>59</xdr:row>
      <xdr:rowOff>142875</xdr:rowOff>
    </xdr:to>
    <xdr:graphicFrame macro="">
      <xdr:nvGraphicFramePr>
        <xdr:cNvPr id="50" name="Chart 1">
          <a:extLst>
            <a:ext uri="{FF2B5EF4-FFF2-40B4-BE49-F238E27FC236}">
              <a16:creationId xmlns:a16="http://schemas.microsoft.com/office/drawing/2014/main" id="{CF523A3A-026E-46DB-96D6-34E79E2E35B1}"/>
            </a:ext>
            <a:ext uri="{147F2762-F138-4A5C-976F-8EAC2B608ADB}">
              <a16:predDERef xmlns:a16="http://schemas.microsoft.com/office/drawing/2014/main" pred="{23DD3863-9CA3-4858-91FA-56246C803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123825</xdr:colOff>
      <xdr:row>103</xdr:row>
      <xdr:rowOff>76200</xdr:rowOff>
    </xdr:from>
    <xdr:to>
      <xdr:col>60</xdr:col>
      <xdr:colOff>438150</xdr:colOff>
      <xdr:row>122</xdr:row>
      <xdr:rowOff>152400</xdr:rowOff>
    </xdr:to>
    <xdr:graphicFrame macro="">
      <xdr:nvGraphicFramePr>
        <xdr:cNvPr id="64" name="Chart 1">
          <a:extLst>
            <a:ext uri="{FF2B5EF4-FFF2-40B4-BE49-F238E27FC236}">
              <a16:creationId xmlns:a16="http://schemas.microsoft.com/office/drawing/2014/main" id="{9741F68B-D0BF-4FFC-9FA2-CE9C3A544951}"/>
            </a:ext>
            <a:ext uri="{147F2762-F138-4A5C-976F-8EAC2B608ADB}">
              <a16:predDERef xmlns:a16="http://schemas.microsoft.com/office/drawing/2014/main" pred="{CF523A3A-026E-46DB-96D6-34E79E2E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104775</xdr:colOff>
      <xdr:row>59</xdr:row>
      <xdr:rowOff>171450</xdr:rowOff>
    </xdr:from>
    <xdr:to>
      <xdr:col>50</xdr:col>
      <xdr:colOff>228600</xdr:colOff>
      <xdr:row>79</xdr:row>
      <xdr:rowOff>57150</xdr:rowOff>
    </xdr:to>
    <xdr:graphicFrame macro="">
      <xdr:nvGraphicFramePr>
        <xdr:cNvPr id="57" name="Chart 2">
          <a:extLst>
            <a:ext uri="{FF2B5EF4-FFF2-40B4-BE49-F238E27FC236}">
              <a16:creationId xmlns:a16="http://schemas.microsoft.com/office/drawing/2014/main" id="{2766D4AC-D43D-4B82-88F5-69AEA34424E1}"/>
            </a:ext>
            <a:ext uri="{147F2762-F138-4A5C-976F-8EAC2B608ADB}">
              <a16:predDERef xmlns:a16="http://schemas.microsoft.com/office/drawing/2014/main" pred="{9741F68B-D0BF-4FFC-9FA2-CE9C3A544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323850</xdr:colOff>
      <xdr:row>59</xdr:row>
      <xdr:rowOff>161925</xdr:rowOff>
    </xdr:from>
    <xdr:to>
      <xdr:col>60</xdr:col>
      <xdr:colOff>447675</xdr:colOff>
      <xdr:row>79</xdr:row>
      <xdr:rowOff>47625</xdr:rowOff>
    </xdr:to>
    <xdr:graphicFrame macro="">
      <xdr:nvGraphicFramePr>
        <xdr:cNvPr id="59" name="Chart 4">
          <a:extLst>
            <a:ext uri="{FF2B5EF4-FFF2-40B4-BE49-F238E27FC236}">
              <a16:creationId xmlns:a16="http://schemas.microsoft.com/office/drawing/2014/main" id="{9C822C45-06BC-42B3-8837-B0FF51B06CBE}"/>
            </a:ext>
            <a:ext uri="{147F2762-F138-4A5C-976F-8EAC2B608ADB}">
              <a16:predDERef xmlns:a16="http://schemas.microsoft.com/office/drawing/2014/main" pred="{2766D4AC-D43D-4B82-88F5-69AEA3442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142875</xdr:colOff>
      <xdr:row>123</xdr:row>
      <xdr:rowOff>9525</xdr:rowOff>
    </xdr:from>
    <xdr:to>
      <xdr:col>48</xdr:col>
      <xdr:colOff>447675</xdr:colOff>
      <xdr:row>137</xdr:row>
      <xdr:rowOff>85725</xdr:rowOff>
    </xdr:to>
    <xdr:graphicFrame macro="">
      <xdr:nvGraphicFramePr>
        <xdr:cNvPr id="18" name="Chart 1">
          <a:extLst>
            <a:ext uri="{FF2B5EF4-FFF2-40B4-BE49-F238E27FC236}">
              <a16:creationId xmlns:a16="http://schemas.microsoft.com/office/drawing/2014/main" id="{0D32A8AA-E3BD-741B-AFAC-1F5E2B0E641B}"/>
            </a:ext>
            <a:ext uri="{147F2762-F138-4A5C-976F-8EAC2B608ADB}">
              <a16:predDERef xmlns:a16="http://schemas.microsoft.com/office/drawing/2014/main" pred="{9C822C45-06BC-42B3-8837-B0FF51B06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123</xdr:row>
      <xdr:rowOff>0</xdr:rowOff>
    </xdr:from>
    <xdr:to>
      <xdr:col>57</xdr:col>
      <xdr:colOff>304800</xdr:colOff>
      <xdr:row>137</xdr:row>
      <xdr:rowOff>76200</xdr:rowOff>
    </xdr:to>
    <xdr:graphicFrame macro="">
      <xdr:nvGraphicFramePr>
        <xdr:cNvPr id="20" name="Chart 2">
          <a:extLst>
            <a:ext uri="{FF2B5EF4-FFF2-40B4-BE49-F238E27FC236}">
              <a16:creationId xmlns:a16="http://schemas.microsoft.com/office/drawing/2014/main" id="{05EAC18C-6384-4EE0-ACF6-096C79B63790}"/>
            </a:ext>
            <a:ext uri="{147F2762-F138-4A5C-976F-8EAC2B608ADB}">
              <a16:predDERef xmlns:a16="http://schemas.microsoft.com/office/drawing/2014/main" pred="{0D32A8AA-E3BD-741B-AFAC-1F5E2B0E6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161925</xdr:colOff>
      <xdr:row>137</xdr:row>
      <xdr:rowOff>142875</xdr:rowOff>
    </xdr:from>
    <xdr:to>
      <xdr:col>48</xdr:col>
      <xdr:colOff>466725</xdr:colOff>
      <xdr:row>152</xdr:row>
      <xdr:rowOff>28575</xdr:rowOff>
    </xdr:to>
    <xdr:graphicFrame macro="">
      <xdr:nvGraphicFramePr>
        <xdr:cNvPr id="23" name="Chart 3">
          <a:extLst>
            <a:ext uri="{FF2B5EF4-FFF2-40B4-BE49-F238E27FC236}">
              <a16:creationId xmlns:a16="http://schemas.microsoft.com/office/drawing/2014/main" id="{AE03E3F9-80D4-470A-B30F-25B7256BD231}"/>
            </a:ext>
            <a:ext uri="{147F2762-F138-4A5C-976F-8EAC2B608ADB}">
              <a16:predDERef xmlns:a16="http://schemas.microsoft.com/office/drawing/2014/main" pred="{05EAC18C-6384-4EE0-ACF6-096C79B63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49</xdr:col>
      <xdr:colOff>0</xdr:colOff>
      <xdr:row>138</xdr:row>
      <xdr:rowOff>0</xdr:rowOff>
    </xdr:from>
    <xdr:to>
      <xdr:col>57</xdr:col>
      <xdr:colOff>304800</xdr:colOff>
      <xdr:row>152</xdr:row>
      <xdr:rowOff>66675</xdr:rowOff>
    </xdr:to>
    <xdr:graphicFrame macro="">
      <xdr:nvGraphicFramePr>
        <xdr:cNvPr id="25" name="Chart 3">
          <a:extLst>
            <a:ext uri="{FF2B5EF4-FFF2-40B4-BE49-F238E27FC236}">
              <a16:creationId xmlns:a16="http://schemas.microsoft.com/office/drawing/2014/main" id="{AC7FFCDB-985D-48D0-AC73-7600A3E16A69}"/>
            </a:ext>
            <a:ext uri="{147F2762-F138-4A5C-976F-8EAC2B608ADB}">
              <a16:predDERef xmlns:a16="http://schemas.microsoft.com/office/drawing/2014/main" pred="{AE03E3F9-80D4-470A-B30F-25B7256BD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266700</xdr:colOff>
      <xdr:row>20</xdr:row>
      <xdr:rowOff>123825</xdr:rowOff>
    </xdr:from>
    <xdr:to>
      <xdr:col>60</xdr:col>
      <xdr:colOff>390525</xdr:colOff>
      <xdr:row>40</xdr:row>
      <xdr:rowOff>0</xdr:rowOff>
    </xdr:to>
    <xdr:graphicFrame macro="">
      <xdr:nvGraphicFramePr>
        <xdr:cNvPr id="27" name="Chart 3">
          <a:extLst>
            <a:ext uri="{FF2B5EF4-FFF2-40B4-BE49-F238E27FC236}">
              <a16:creationId xmlns:a16="http://schemas.microsoft.com/office/drawing/2014/main" id="{F5ABBD79-6710-45D1-992D-96ED2471463E}"/>
            </a:ext>
            <a:ext uri="{147F2762-F138-4A5C-976F-8EAC2B608ADB}">
              <a16:predDERef xmlns:a16="http://schemas.microsoft.com/office/drawing/2014/main" pred="{AC7FFCDB-985D-48D0-AC73-7600A3E16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41</xdr:col>
      <xdr:colOff>95250</xdr:colOff>
      <xdr:row>152</xdr:row>
      <xdr:rowOff>123825</xdr:rowOff>
    </xdr:from>
    <xdr:to>
      <xdr:col>48</xdr:col>
      <xdr:colOff>400050</xdr:colOff>
      <xdr:row>167</xdr:row>
      <xdr:rowOff>0</xdr:rowOff>
    </xdr:to>
    <xdr:graphicFrame macro="">
      <xdr:nvGraphicFramePr>
        <xdr:cNvPr id="28" name="Chart 3">
          <a:extLst>
            <a:ext uri="{FF2B5EF4-FFF2-40B4-BE49-F238E27FC236}">
              <a16:creationId xmlns:a16="http://schemas.microsoft.com/office/drawing/2014/main" id="{555FAA75-496D-446D-972E-84964289755F}"/>
            </a:ext>
            <a:ext uri="{147F2762-F138-4A5C-976F-8EAC2B608ADB}">
              <a16:predDERef xmlns:a16="http://schemas.microsoft.com/office/drawing/2014/main" pred="{F5ABBD79-6710-45D1-992D-96ED24714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25</xdr:col>
      <xdr:colOff>600075</xdr:colOff>
      <xdr:row>20</xdr:row>
      <xdr:rowOff>133350</xdr:rowOff>
    </xdr:from>
    <xdr:to>
      <xdr:col>44</xdr:col>
      <xdr:colOff>542925</xdr:colOff>
      <xdr:row>40</xdr:row>
      <xdr:rowOff>19050</xdr:rowOff>
    </xdr:to>
    <xdr:graphicFrame macro="">
      <xdr:nvGraphicFramePr>
        <xdr:cNvPr id="47" name="Chart 2">
          <a:extLst>
            <a:ext uri="{FF2B5EF4-FFF2-40B4-BE49-F238E27FC236}">
              <a16:creationId xmlns:a16="http://schemas.microsoft.com/office/drawing/2014/main" id="{9CF0A9C5-B395-4063-99C3-13D7ECB4DE71}"/>
            </a:ext>
            <a:ext uri="{147F2762-F138-4A5C-976F-8EAC2B608ADB}">
              <a16:predDERef xmlns:a16="http://schemas.microsoft.com/office/drawing/2014/main" pred="{F56D3917-B414-4797-8EDC-06B807C6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40</xdr:row>
      <xdr:rowOff>28575</xdr:rowOff>
    </xdr:from>
    <xdr:to>
      <xdr:col>44</xdr:col>
      <xdr:colOff>581025</xdr:colOff>
      <xdr:row>59</xdr:row>
      <xdr:rowOff>95250</xdr:rowOff>
    </xdr:to>
    <xdr:graphicFrame macro="">
      <xdr:nvGraphicFramePr>
        <xdr:cNvPr id="7" name="Chart 1">
          <a:extLst>
            <a:ext uri="{FF2B5EF4-FFF2-40B4-BE49-F238E27FC236}">
              <a16:creationId xmlns:a16="http://schemas.microsoft.com/office/drawing/2014/main" id="{BBE122AE-E6DD-46D1-8E5C-377B7B0CB79A}"/>
            </a:ext>
            <a:ext uri="{147F2762-F138-4A5C-976F-8EAC2B608ADB}">
              <a16:predDERef xmlns:a16="http://schemas.microsoft.com/office/drawing/2014/main" pred="{9CF0A9C5-B395-4063-99C3-13D7ECB4D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47625</xdr:colOff>
      <xdr:row>0</xdr:row>
      <xdr:rowOff>180975</xdr:rowOff>
    </xdr:from>
    <xdr:to>
      <xdr:col>44</xdr:col>
      <xdr:colOff>561975</xdr:colOff>
      <xdr:row>20</xdr:row>
      <xdr:rowOff>57150</xdr:rowOff>
    </xdr:to>
    <xdr:graphicFrame macro="">
      <xdr:nvGraphicFramePr>
        <xdr:cNvPr id="5" name="Chart 3">
          <a:extLst>
            <a:ext uri="{FF2B5EF4-FFF2-40B4-BE49-F238E27FC236}">
              <a16:creationId xmlns:a16="http://schemas.microsoft.com/office/drawing/2014/main" id="{D398E944-829E-46E2-B6FB-1D86E25CA5BD}"/>
            </a:ext>
            <a:ext uri="{147F2762-F138-4A5C-976F-8EAC2B608ADB}">
              <a16:predDERef xmlns:a16="http://schemas.microsoft.com/office/drawing/2014/main" pred="{BBE122AE-E6DD-46D1-8E5C-377B7B0CB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59</xdr:row>
      <xdr:rowOff>142875</xdr:rowOff>
    </xdr:from>
    <xdr:to>
      <xdr:col>44</xdr:col>
      <xdr:colOff>495300</xdr:colOff>
      <xdr:row>79</xdr:row>
      <xdr:rowOff>28575</xdr:rowOff>
    </xdr:to>
    <xdr:graphicFrame macro="">
      <xdr:nvGraphicFramePr>
        <xdr:cNvPr id="60" name="Chart 4">
          <a:extLst>
            <a:ext uri="{FF2B5EF4-FFF2-40B4-BE49-F238E27FC236}">
              <a16:creationId xmlns:a16="http://schemas.microsoft.com/office/drawing/2014/main" id="{4CB3CF80-D84D-4A5F-85D1-89B871CB1753}"/>
            </a:ext>
            <a:ext uri="{147F2762-F138-4A5C-976F-8EAC2B608ADB}">
              <a16:predDERef xmlns:a16="http://schemas.microsoft.com/office/drawing/2014/main" pred="{D398E944-829E-46E2-B6FB-1D86E25CA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79</xdr:row>
      <xdr:rowOff>95250</xdr:rowOff>
    </xdr:from>
    <xdr:to>
      <xdr:col>44</xdr:col>
      <xdr:colOff>457200</xdr:colOff>
      <xdr:row>98</xdr:row>
      <xdr:rowOff>161925</xdr:rowOff>
    </xdr:to>
    <xdr:graphicFrame macro="">
      <xdr:nvGraphicFramePr>
        <xdr:cNvPr id="66" name="Chart 5">
          <a:extLst>
            <a:ext uri="{FF2B5EF4-FFF2-40B4-BE49-F238E27FC236}">
              <a16:creationId xmlns:a16="http://schemas.microsoft.com/office/drawing/2014/main" id="{DD54223E-DD25-471E-84B8-2656159409FC}"/>
            </a:ext>
            <a:ext uri="{147F2762-F138-4A5C-976F-8EAC2B608ADB}">
              <a16:predDERef xmlns:a16="http://schemas.microsoft.com/office/drawing/2014/main" pred="{4CB3CF80-D84D-4A5F-85D1-89B871CB1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28575</xdr:colOff>
      <xdr:row>118</xdr:row>
      <xdr:rowOff>142875</xdr:rowOff>
    </xdr:from>
    <xdr:to>
      <xdr:col>44</xdr:col>
      <xdr:colOff>428625</xdr:colOff>
      <xdr:row>138</xdr:row>
      <xdr:rowOff>19050</xdr:rowOff>
    </xdr:to>
    <xdr:graphicFrame macro="">
      <xdr:nvGraphicFramePr>
        <xdr:cNvPr id="83" name="Chart 1">
          <a:extLst>
            <a:ext uri="{FF2B5EF4-FFF2-40B4-BE49-F238E27FC236}">
              <a16:creationId xmlns:a16="http://schemas.microsoft.com/office/drawing/2014/main" id="{5CB8887F-D040-4A45-9E1F-1382416943A1}"/>
            </a:ext>
            <a:ext uri="{147F2762-F138-4A5C-976F-8EAC2B608ADB}">
              <a16:predDERef xmlns:a16="http://schemas.microsoft.com/office/drawing/2014/main" pred="{DD54223E-DD25-471E-84B8-265615940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38100</xdr:colOff>
      <xdr:row>99</xdr:row>
      <xdr:rowOff>19050</xdr:rowOff>
    </xdr:from>
    <xdr:to>
      <xdr:col>44</xdr:col>
      <xdr:colOff>447675</xdr:colOff>
      <xdr:row>118</xdr:row>
      <xdr:rowOff>85725</xdr:rowOff>
    </xdr:to>
    <xdr:graphicFrame macro="">
      <xdr:nvGraphicFramePr>
        <xdr:cNvPr id="77" name="Chart 1">
          <a:extLst>
            <a:ext uri="{FF2B5EF4-FFF2-40B4-BE49-F238E27FC236}">
              <a16:creationId xmlns:a16="http://schemas.microsoft.com/office/drawing/2014/main" id="{3A783F54-9A95-4C96-AD60-A37DB47C31CD}"/>
            </a:ext>
            <a:ext uri="{147F2762-F138-4A5C-976F-8EAC2B608ADB}">
              <a16:predDERef xmlns:a16="http://schemas.microsoft.com/office/drawing/2014/main" pred="{5CB8887F-D040-4A45-9E1F-138241694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600075</xdr:colOff>
      <xdr:row>139</xdr:row>
      <xdr:rowOff>9525</xdr:rowOff>
    </xdr:from>
    <xdr:to>
      <xdr:col>44</xdr:col>
      <xdr:colOff>419100</xdr:colOff>
      <xdr:row>158</xdr:row>
      <xdr:rowOff>9525</xdr:rowOff>
    </xdr:to>
    <xdr:graphicFrame macro="">
      <xdr:nvGraphicFramePr>
        <xdr:cNvPr id="92" name="Chart 2">
          <a:extLst>
            <a:ext uri="{FF2B5EF4-FFF2-40B4-BE49-F238E27FC236}">
              <a16:creationId xmlns:a16="http://schemas.microsoft.com/office/drawing/2014/main" id="{2BF96B2E-591C-41E2-A586-6DC7B9BF18A1}"/>
            </a:ext>
            <a:ext uri="{147F2762-F138-4A5C-976F-8EAC2B608ADB}">
              <a16:predDERef xmlns:a16="http://schemas.microsoft.com/office/drawing/2014/main" pred="{3A783F54-9A95-4C96-AD60-A37DB47C3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9525</xdr:colOff>
      <xdr:row>161</xdr:row>
      <xdr:rowOff>104775</xdr:rowOff>
    </xdr:from>
    <xdr:to>
      <xdr:col>44</xdr:col>
      <xdr:colOff>409575</xdr:colOff>
      <xdr:row>177</xdr:row>
      <xdr:rowOff>133350</xdr:rowOff>
    </xdr:to>
    <xdr:graphicFrame macro="">
      <xdr:nvGraphicFramePr>
        <xdr:cNvPr id="105" name="Chart 3">
          <a:extLst>
            <a:ext uri="{FF2B5EF4-FFF2-40B4-BE49-F238E27FC236}">
              <a16:creationId xmlns:a16="http://schemas.microsoft.com/office/drawing/2014/main" id="{E8938BD5-5669-4776-8686-8DF11233798B}"/>
            </a:ext>
            <a:ext uri="{147F2762-F138-4A5C-976F-8EAC2B608ADB}">
              <a16:predDERef xmlns:a16="http://schemas.microsoft.com/office/drawing/2014/main" pred="{2BF96B2E-591C-41E2-A586-6DC7B9BF1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85725</xdr:rowOff>
    </xdr:from>
    <xdr:to>
      <xdr:col>9</xdr:col>
      <xdr:colOff>571500</xdr:colOff>
      <xdr:row>27</xdr:row>
      <xdr:rowOff>114300</xdr:rowOff>
    </xdr:to>
    <xdr:sp macro="" textlink="">
      <xdr:nvSpPr>
        <xdr:cNvPr id="2" name="TextBox 1">
          <a:extLst>
            <a:ext uri="{FF2B5EF4-FFF2-40B4-BE49-F238E27FC236}">
              <a16:creationId xmlns:a16="http://schemas.microsoft.com/office/drawing/2014/main" id="{2EBF1220-06A5-66EC-71EF-8B4ACC9E056A}"/>
            </a:ext>
          </a:extLst>
        </xdr:cNvPr>
        <xdr:cNvSpPr txBox="1"/>
      </xdr:nvSpPr>
      <xdr:spPr>
        <a:xfrm>
          <a:off x="114300" y="276225"/>
          <a:ext cx="5943600" cy="498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a:solidFill>
                <a:schemeClr val="dk1"/>
              </a:solidFill>
              <a:effectLst/>
              <a:latin typeface="+mn-lt"/>
              <a:ea typeface="+mn-ea"/>
              <a:cs typeface="+mn-cs"/>
            </a:rPr>
            <a:t>Documents are sent to ACI from the customer.</a:t>
          </a:r>
        </a:p>
        <a:p>
          <a:pPr lvl="0"/>
          <a:r>
            <a:rPr lang="en-US" sz="1100">
              <a:solidFill>
                <a:schemeClr val="dk1"/>
              </a:solidFill>
              <a:effectLst/>
              <a:latin typeface="+mn-lt"/>
              <a:ea typeface="+mn-ea"/>
              <a:cs typeface="+mn-cs"/>
            </a:rPr>
            <a:t>Job Folders are created, and the documents are stored in the appropriate Job Folder</a:t>
          </a:r>
        </a:p>
        <a:p>
          <a:pPr lvl="0"/>
          <a:r>
            <a:rPr lang="en-US" sz="1100">
              <a:solidFill>
                <a:schemeClr val="dk1"/>
              </a:solidFill>
              <a:effectLst/>
              <a:latin typeface="+mn-lt"/>
              <a:ea typeface="+mn-ea"/>
              <a:cs typeface="+mn-cs"/>
            </a:rPr>
            <a:t>Quote Feedback File (QFF) file is updated with the quote information.</a:t>
          </a:r>
        </a:p>
        <a:p>
          <a:pPr lvl="0"/>
          <a:r>
            <a:rPr lang="en-US" sz="1100">
              <a:solidFill>
                <a:schemeClr val="dk1"/>
              </a:solidFill>
              <a:effectLst/>
              <a:latin typeface="+mn-lt"/>
              <a:ea typeface="+mn-ea"/>
              <a:cs typeface="+mn-cs"/>
            </a:rPr>
            <a:t>Quote is Kicked off to the quote team.</a:t>
          </a:r>
        </a:p>
        <a:p>
          <a:pPr lvl="0"/>
          <a:r>
            <a:rPr lang="en-US" sz="1100">
              <a:solidFill>
                <a:schemeClr val="dk1"/>
              </a:solidFill>
              <a:effectLst/>
              <a:latin typeface="+mn-lt"/>
              <a:ea typeface="+mn-ea"/>
              <a:cs typeface="+mn-cs"/>
            </a:rPr>
            <a:t>Quote documents are created and stored in the appropriate Customer Quote File location.</a:t>
          </a:r>
        </a:p>
        <a:p>
          <a:pPr lvl="1"/>
          <a:r>
            <a:rPr lang="en-US" sz="1100">
              <a:solidFill>
                <a:schemeClr val="dk1"/>
              </a:solidFill>
              <a:effectLst/>
              <a:latin typeface="+mn-lt"/>
              <a:ea typeface="+mn-ea"/>
              <a:cs typeface="+mn-cs"/>
            </a:rPr>
            <a:t>Internal Quote BOM File (if it’s an assembly) </a:t>
          </a:r>
        </a:p>
        <a:p>
          <a:r>
            <a:rPr lang="en-US" sz="1100">
              <a:solidFill>
                <a:schemeClr val="dk1"/>
              </a:solidFill>
              <a:effectLst/>
              <a:latin typeface="+mn-lt"/>
              <a:ea typeface="+mn-ea"/>
              <a:cs typeface="+mn-cs"/>
            </a:rPr>
            <a:t>Owner: Product Engineering (File Creation)/ Purchasing (Fills in Pricing)</a:t>
          </a:r>
        </a:p>
        <a:p>
          <a:pPr lvl="1"/>
          <a:r>
            <a:rPr lang="en-US" sz="1100">
              <a:solidFill>
                <a:schemeClr val="dk1"/>
              </a:solidFill>
              <a:effectLst/>
              <a:latin typeface="+mn-lt"/>
              <a:ea typeface="+mn-ea"/>
              <a:cs typeface="+mn-cs"/>
            </a:rPr>
            <a:t>PCB Quote File (if Circuit board quote is needed)</a:t>
          </a:r>
        </a:p>
        <a:p>
          <a:r>
            <a:rPr lang="en-US" sz="1100">
              <a:solidFill>
                <a:schemeClr val="dk1"/>
              </a:solidFill>
              <a:effectLst/>
              <a:latin typeface="+mn-lt"/>
              <a:ea typeface="+mn-ea"/>
              <a:cs typeface="+mn-cs"/>
            </a:rPr>
            <a:t>Owner: Quality Engineering / Process Engineering</a:t>
          </a:r>
        </a:p>
        <a:p>
          <a:pPr lvl="1"/>
          <a:r>
            <a:rPr lang="en-US" sz="1100">
              <a:solidFill>
                <a:schemeClr val="dk1"/>
              </a:solidFill>
              <a:effectLst/>
              <a:latin typeface="+mn-lt"/>
              <a:ea typeface="+mn-ea"/>
              <a:cs typeface="+mn-cs"/>
            </a:rPr>
            <a:t>Labor Quote File</a:t>
          </a:r>
        </a:p>
        <a:p>
          <a:r>
            <a:rPr lang="en-US" sz="1100">
              <a:solidFill>
                <a:schemeClr val="dk1"/>
              </a:solidFill>
              <a:effectLst/>
              <a:latin typeface="+mn-lt"/>
              <a:ea typeface="+mn-ea"/>
              <a:cs typeface="+mn-cs"/>
            </a:rPr>
            <a:t>Owner: Facilities Engineering / Process Engineering</a:t>
          </a:r>
        </a:p>
        <a:p>
          <a:pPr lvl="1"/>
          <a:r>
            <a:rPr lang="en-US" sz="1100">
              <a:solidFill>
                <a:schemeClr val="dk1"/>
              </a:solidFill>
              <a:effectLst/>
              <a:latin typeface="+mn-lt"/>
              <a:ea typeface="+mn-ea"/>
              <a:cs typeface="+mn-cs"/>
            </a:rPr>
            <a:t>Master Quote File</a:t>
          </a:r>
        </a:p>
        <a:p>
          <a:r>
            <a:rPr lang="en-US" sz="1100">
              <a:solidFill>
                <a:schemeClr val="dk1"/>
              </a:solidFill>
              <a:effectLst/>
              <a:latin typeface="+mn-lt"/>
              <a:ea typeface="+mn-ea"/>
              <a:cs typeface="+mn-cs"/>
            </a:rPr>
            <a:t>Owner: Accounts Management</a:t>
          </a:r>
        </a:p>
        <a:p>
          <a:pPr lvl="1"/>
          <a:r>
            <a:rPr lang="en-US" sz="1100">
              <a:solidFill>
                <a:schemeClr val="dk1"/>
              </a:solidFill>
              <a:effectLst/>
              <a:latin typeface="+mn-lt"/>
              <a:ea typeface="+mn-ea"/>
              <a:cs typeface="+mn-cs"/>
            </a:rPr>
            <a:t>Customer Quote File</a:t>
          </a:r>
        </a:p>
        <a:p>
          <a:r>
            <a:rPr lang="en-US" sz="1100">
              <a:solidFill>
                <a:schemeClr val="dk1"/>
              </a:solidFill>
              <a:effectLst/>
              <a:latin typeface="+mn-lt"/>
              <a:ea typeface="+mn-ea"/>
              <a:cs typeface="+mn-cs"/>
            </a:rPr>
            <a:t>Owner: Accounts Management</a:t>
          </a:r>
        </a:p>
        <a:p>
          <a:r>
            <a:rPr lang="en-US" sz="1100" b="1">
              <a:solidFill>
                <a:schemeClr val="dk1"/>
              </a:solidFill>
              <a:effectLst/>
              <a:latin typeface="+mn-lt"/>
              <a:ea typeface="+mn-ea"/>
              <a:cs typeface="+mn-cs"/>
            </a:rPr>
            <a:t>NOTE: </a:t>
          </a:r>
          <a:r>
            <a:rPr lang="en-US" sz="1100">
              <a:solidFill>
                <a:schemeClr val="dk1"/>
              </a:solidFill>
              <a:effectLst/>
              <a:latin typeface="+mn-lt"/>
              <a:ea typeface="+mn-ea"/>
              <a:cs typeface="+mn-cs"/>
            </a:rPr>
            <a:t>Engineer Services Coordinator (ESC) can assist all departments in all quoting activity outlined above. QFF will be managed by the ESC and Accounts Manager and will delegate duties.</a:t>
          </a:r>
        </a:p>
        <a:p>
          <a:pPr lvl="0"/>
          <a:r>
            <a:rPr lang="en-US" sz="1100">
              <a:solidFill>
                <a:schemeClr val="dk1"/>
              </a:solidFill>
              <a:effectLst/>
              <a:latin typeface="+mn-lt"/>
              <a:ea typeface="+mn-ea"/>
              <a:cs typeface="+mn-cs"/>
            </a:rPr>
            <a:t>Quote Team will fill out the individual quote documents based on the Customer’s quote request. Engineer Services Coordinator to track which person is handling which quote.</a:t>
          </a:r>
        </a:p>
        <a:p>
          <a:pPr lvl="0"/>
          <a:r>
            <a:rPr lang="en-US" sz="1100">
              <a:solidFill>
                <a:schemeClr val="dk1"/>
              </a:solidFill>
              <a:effectLst/>
              <a:latin typeface="+mn-lt"/>
              <a:ea typeface="+mn-ea"/>
              <a:cs typeface="+mn-cs"/>
            </a:rPr>
            <a:t>Completed quotes are to be stored in the appropriate Customer quote file. A Hyperlink to the file is also acceptable.</a:t>
          </a:r>
        </a:p>
        <a:p>
          <a:pPr lvl="0"/>
          <a:r>
            <a:rPr lang="en-US" sz="1100">
              <a:solidFill>
                <a:schemeClr val="dk1"/>
              </a:solidFill>
              <a:effectLst/>
              <a:latin typeface="+mn-lt"/>
              <a:ea typeface="+mn-ea"/>
              <a:cs typeface="+mn-cs"/>
            </a:rPr>
            <a:t>Accounts Manager reviews the relevant quote files and updates the Master and Customer Quote files accordingly.</a:t>
          </a:r>
        </a:p>
        <a:p>
          <a:pPr lvl="0"/>
          <a:r>
            <a:rPr lang="en-US" sz="1100">
              <a:solidFill>
                <a:schemeClr val="dk1"/>
              </a:solidFill>
              <a:effectLst/>
              <a:latin typeface="+mn-lt"/>
              <a:ea typeface="+mn-ea"/>
              <a:cs typeface="+mn-cs"/>
            </a:rPr>
            <a:t>Management Representative reviews quote before being sent to customer.</a:t>
          </a:r>
        </a:p>
        <a:p>
          <a:pPr lvl="0"/>
          <a:r>
            <a:rPr lang="en-US" sz="1100">
              <a:solidFill>
                <a:schemeClr val="dk1"/>
              </a:solidFill>
              <a:effectLst/>
              <a:latin typeface="+mn-lt"/>
              <a:ea typeface="+mn-ea"/>
              <a:cs typeface="+mn-cs"/>
            </a:rPr>
            <a:t>Once approved, Quote is then sent to customer.</a:t>
          </a:r>
        </a:p>
        <a:p>
          <a:r>
            <a:rPr lang="en-US" sz="1100">
              <a:solidFill>
                <a:schemeClr val="dk1"/>
              </a:solidFill>
              <a:effectLst/>
              <a:latin typeface="+mn-lt"/>
              <a:ea typeface="+mn-ea"/>
              <a:cs typeface="+mn-cs"/>
            </a:rPr>
            <a:t> </a:t>
          </a:r>
        </a:p>
        <a:p>
          <a:endParaRPr lang="en-US" sz="1100"/>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Cathy" id="{FA1092B5-49A5-4811-8969-79489D145C46}">
    <nsvFilter filterId="{00000000-0001-0000-0000-000000000000}" ref="A2:AP188" tableId="0">
      <sortRules>
        <sortRule colId="0">
          <sortCondition ref="A2:A188"/>
        </sortRule>
      </sortRules>
    </nsvFilter>
  </namedSheetView>
  <namedSheetView name="Larry" id="{52D3B0DB-5F95-4744-88B6-4C0F02C0E9E5}">
    <nsvFilter filterId="{00000000-0001-0000-0000-000000000000}" ref="A2:AP188" tableId="0">
      <sortRules>
        <sortRule colId="0">
          <sortCondition ref="A2:A188"/>
        </sortRule>
      </sortRules>
    </nsvFilter>
  </namedSheetView>
  <namedSheetView name="Praful" id="{D78E3BF2-4BEC-4C66-BE7B-4CABEF07EB2D}">
    <nsvFilter filterId="{00000000-0001-0000-0000-000000000000}" ref="A2:AP188" tableId="0">
      <columnFilter colId="22">
        <filter colId="22">
          <x:filters>
            <x:filter val="8731L"/>
          </x:filters>
        </filter>
      </columnFilter>
      <sortRules>
        <sortRule colId="0">
          <sortCondition ref="A2:A188"/>
        </sortRule>
      </sortRules>
    </nsvFilter>
  </namedSheetView>
  <namedSheetView name="True View" id="{E8AEE39D-9415-40D5-934D-B41F5D1A71D5}">
    <nsvFilter filterId="{00000000-0001-0000-0000-000000000000}" ref="A2:AP188" tableId="0">
      <sortRules>
        <sortRule colId="0">
          <sortCondition ref="A2:A188"/>
        </sortRule>
      </sortRules>
    </nsvFilter>
  </namedSheetView>
  <namedSheetView name="View1" id="{974909F8-7D3D-42E2-863A-1A7EA2C511A9}">
    <nsvFilter filterId="{00000000-0001-0000-0000-000000000000}" ref="A2:AP188" tableId="0">
      <sortRules>
        <sortRule colId="0">
          <sortCondition ref="A2:A188"/>
        </sortRule>
      </sortRules>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630F55B-47D9-4C86-BE01-EBA8F84A2339}">
    <nsvFilter filterId="{EA758BAB-5A6B-4EC7-A109-A2D2575CFA2C}" ref="A2:X628" tableId="0">
      <sortRules>
        <sortRule colId="0">
          <sortCondition ref="A2:A628"/>
        </sortRule>
      </sortRules>
    </nsvFilter>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7895D0-9FBE-4609-88AE-E1C5F95BB681}" name="Table1" displayName="Table1" ref="A1:A8" totalsRowShown="0">
  <autoFilter ref="A1:A8" xr:uid="{367895D0-9FBE-4609-88AE-E1C5F95BB681}"/>
  <tableColumns count="1">
    <tableColumn id="1" xr3:uid="{86B5C1BF-A9B2-44E8-937C-E7464EAA045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mary.crispino@dehn.us" TargetMode="External"/><Relationship Id="rId18" Type="http://schemas.openxmlformats.org/officeDocument/2006/relationships/hyperlink" Target="mailto:bcarpenter@wagerusa.com" TargetMode="External"/><Relationship Id="rId26" Type="http://schemas.openxmlformats.org/officeDocument/2006/relationships/hyperlink" Target="mailto:fc4@centralmetalfab.com" TargetMode="External"/><Relationship Id="rId3" Type="http://schemas.openxmlformats.org/officeDocument/2006/relationships/hyperlink" Target="mailto:redmond.calma@reboundeu.com" TargetMode="External"/><Relationship Id="rId21" Type="http://schemas.openxmlformats.org/officeDocument/2006/relationships/hyperlink" Target="mailto:aromero@seecoswitch.com" TargetMode="External"/><Relationship Id="rId34" Type="http://schemas.openxmlformats.org/officeDocument/2006/relationships/vmlDrawing" Target="../drawings/vmlDrawing1.vml"/><Relationship Id="rId7" Type="http://schemas.openxmlformats.org/officeDocument/2006/relationships/hyperlink" Target="mailto:david.bowen@abbott.com" TargetMode="External"/><Relationship Id="rId12" Type="http://schemas.openxmlformats.org/officeDocument/2006/relationships/hyperlink" Target="mailto:CRayfield@MantissaCorporation.com" TargetMode="External"/><Relationship Id="rId17" Type="http://schemas.openxmlformats.org/officeDocument/2006/relationships/hyperlink" Target="mailto:bcarpenter@wagerusa.com" TargetMode="External"/><Relationship Id="rId25" Type="http://schemas.openxmlformats.org/officeDocument/2006/relationships/hyperlink" Target="mailto:davery@electro-nc.com" TargetMode="External"/><Relationship Id="rId33" Type="http://schemas.openxmlformats.org/officeDocument/2006/relationships/printerSettings" Target="../printerSettings/printerSettings2.bin"/><Relationship Id="rId2" Type="http://schemas.openxmlformats.org/officeDocument/2006/relationships/hyperlink" Target="mailto:maryann.waldron@collins.com" TargetMode="External"/><Relationship Id="rId16" Type="http://schemas.openxmlformats.org/officeDocument/2006/relationships/hyperlink" Target="mailto:bcarpenter@wagerusa.com" TargetMode="External"/><Relationship Id="rId20" Type="http://schemas.openxmlformats.org/officeDocument/2006/relationships/hyperlink" Target="mailto:shawn.pasternak@eaw.com" TargetMode="External"/><Relationship Id="rId29" Type="http://schemas.openxmlformats.org/officeDocument/2006/relationships/hyperlink" Target="mailto:joycea@scc-inc.com" TargetMode="External"/><Relationship Id="rId1" Type="http://schemas.openxmlformats.org/officeDocument/2006/relationships/printerSettings" Target="../printerSettings/printerSettings1.bin"/><Relationship Id="rId6" Type="http://schemas.openxmlformats.org/officeDocument/2006/relationships/hyperlink" Target="mailto:bill.romaniello@habco.biz" TargetMode="External"/><Relationship Id="rId11" Type="http://schemas.openxmlformats.org/officeDocument/2006/relationships/hyperlink" Target="mailto:CRayfield@MantissaCorporation.com" TargetMode="External"/><Relationship Id="rId24" Type="http://schemas.openxmlformats.org/officeDocument/2006/relationships/hyperlink" Target="mailto:mary.crispino@dehn.us" TargetMode="External"/><Relationship Id="rId32" Type="http://schemas.openxmlformats.org/officeDocument/2006/relationships/hyperlink" Target="mailto:amanda.acker@boonedam.com" TargetMode="External"/><Relationship Id="rId5" Type="http://schemas.openxmlformats.org/officeDocument/2006/relationships/hyperlink" Target="mailto:mrogers@triadsemi.com" TargetMode="External"/><Relationship Id="rId15" Type="http://schemas.openxmlformats.org/officeDocument/2006/relationships/hyperlink" Target="mailto:bcarpenter@wagerusa.com" TargetMode="External"/><Relationship Id="rId23" Type="http://schemas.openxmlformats.org/officeDocument/2006/relationships/hyperlink" Target="mailto:mary.crispino@dehn.us" TargetMode="External"/><Relationship Id="rId28" Type="http://schemas.openxmlformats.org/officeDocument/2006/relationships/hyperlink" Target="mailto:darren.frenchik@healthcarecomponents.com" TargetMode="External"/><Relationship Id="rId36" Type="http://schemas.microsoft.com/office/2019/04/relationships/namedSheetView" Target="../namedSheetViews/namedSheetView1.xml"/><Relationship Id="rId10" Type="http://schemas.openxmlformats.org/officeDocument/2006/relationships/hyperlink" Target="mailto:CRayfield@MantissaCorporation.com" TargetMode="External"/><Relationship Id="rId19" Type="http://schemas.openxmlformats.org/officeDocument/2006/relationships/hyperlink" Target="mailto:Laverne.Byrd@bd.com" TargetMode="External"/><Relationship Id="rId31" Type="http://schemas.openxmlformats.org/officeDocument/2006/relationships/hyperlink" Target="mailto:amanda.acker@boonedam.com" TargetMode="External"/><Relationship Id="rId4" Type="http://schemas.openxmlformats.org/officeDocument/2006/relationships/hyperlink" Target="mailto:bbryant@spire-tec.com" TargetMode="External"/><Relationship Id="rId9" Type="http://schemas.openxmlformats.org/officeDocument/2006/relationships/hyperlink" Target="mailto:CRayfield@MantissaCorporation.com" TargetMode="External"/><Relationship Id="rId14" Type="http://schemas.openxmlformats.org/officeDocument/2006/relationships/hyperlink" Target="mailto:camaxtool@gmail.com" TargetMode="External"/><Relationship Id="rId22" Type="http://schemas.openxmlformats.org/officeDocument/2006/relationships/hyperlink" Target="mailto:mary.crispino@dehn.us" TargetMode="External"/><Relationship Id="rId27" Type="http://schemas.openxmlformats.org/officeDocument/2006/relationships/hyperlink" Target="mailto:Steven.Dellinger@ga.com" TargetMode="External"/><Relationship Id="rId30" Type="http://schemas.openxmlformats.org/officeDocument/2006/relationships/hyperlink" Target="mailto:mary.crispino@dehn.us" TargetMode="External"/><Relationship Id="rId35" Type="http://schemas.openxmlformats.org/officeDocument/2006/relationships/comments" Target="../comments1.xml"/><Relationship Id="rId8" Type="http://schemas.openxmlformats.org/officeDocument/2006/relationships/hyperlink" Target="mailto:scsnead@bmrsusa.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mailto:cmbeaty@reynco.com" TargetMode="External"/><Relationship Id="rId21" Type="http://schemas.openxmlformats.org/officeDocument/2006/relationships/hyperlink" Target="mailto:iacamacho@reynco.com" TargetMode="External"/><Relationship Id="rId63" Type="http://schemas.openxmlformats.org/officeDocument/2006/relationships/hyperlink" Target="mailto:bthibodaux@crawfordelectricsupply.com" TargetMode="External"/><Relationship Id="rId159" Type="http://schemas.openxmlformats.org/officeDocument/2006/relationships/hyperlink" Target="mailto:bthibodaux@crawfordelectricsupply.com" TargetMode="External"/><Relationship Id="rId170" Type="http://schemas.openxmlformats.org/officeDocument/2006/relationships/hyperlink" Target="mailto:bthibodaux@crawfordelectricsupply.com" TargetMode="External"/><Relationship Id="rId226" Type="http://schemas.openxmlformats.org/officeDocument/2006/relationships/hyperlink" Target="mailto:mariana.robles@rockwellautomation.com" TargetMode="External"/><Relationship Id="rId268" Type="http://schemas.openxmlformats.org/officeDocument/2006/relationships/hyperlink" Target="mailto:david.cheng@genergy.cn" TargetMode="External"/><Relationship Id="rId32" Type="http://schemas.openxmlformats.org/officeDocument/2006/relationships/hyperlink" Target="mailto:Tim.Bludau@contractor.p66.com" TargetMode="External"/><Relationship Id="rId74" Type="http://schemas.openxmlformats.org/officeDocument/2006/relationships/hyperlink" Target="mailto:coespada@reynco.com" TargetMode="External"/><Relationship Id="rId128" Type="http://schemas.openxmlformats.org/officeDocument/2006/relationships/hyperlink" Target="mailto:Luis.D.Peugnet@jci.com" TargetMode="External"/><Relationship Id="rId5" Type="http://schemas.openxmlformats.org/officeDocument/2006/relationships/hyperlink" Target="mailto:ymontes@ra.rockwell.com" TargetMode="External"/><Relationship Id="rId181" Type="http://schemas.openxmlformats.org/officeDocument/2006/relationships/hyperlink" Target="mailto:Andrew.Gumpp@wescodist.com" TargetMode="External"/><Relationship Id="rId237" Type="http://schemas.openxmlformats.org/officeDocument/2006/relationships/hyperlink" Target="mailto:babergman@marathonpetroleum.com" TargetMode="External"/><Relationship Id="rId279" Type="http://schemas.openxmlformats.org/officeDocument/2006/relationships/hyperlink" Target="mailto:andrea@atiflow.com" TargetMode="External"/><Relationship Id="rId43" Type="http://schemas.openxmlformats.org/officeDocument/2006/relationships/hyperlink" Target="mailto:zalina.ngah@rpcm.com.my" TargetMode="External"/><Relationship Id="rId139" Type="http://schemas.openxmlformats.org/officeDocument/2006/relationships/hyperlink" Target="mailto:SKanuch@wescodist.com" TargetMode="External"/><Relationship Id="rId290" Type="http://schemas.microsoft.com/office/2019/04/relationships/namedSheetView" Target="../namedSheetViews/namedSheetView2.xml"/><Relationship Id="rId85" Type="http://schemas.openxmlformats.org/officeDocument/2006/relationships/hyperlink" Target="mailto:bthibodaux@crawfordelectricsupply.com" TargetMode="External"/><Relationship Id="rId150" Type="http://schemas.openxmlformats.org/officeDocument/2006/relationships/hyperlink" Target="mailto:Andrew.Gumpp@wescodist.com" TargetMode="External"/><Relationship Id="rId192" Type="http://schemas.openxmlformats.org/officeDocument/2006/relationships/hyperlink" Target="mailto:zachw@cainodessa.com" TargetMode="External"/><Relationship Id="rId206" Type="http://schemas.openxmlformats.org/officeDocument/2006/relationships/hyperlink" Target="mailto:pholmes@jsupply.com" TargetMode="External"/><Relationship Id="rId248" Type="http://schemas.openxmlformats.org/officeDocument/2006/relationships/hyperlink" Target="mailto:andrea@atiflow.com" TargetMode="External"/><Relationship Id="rId269" Type="http://schemas.openxmlformats.org/officeDocument/2006/relationships/hyperlink" Target="mailto:andrea@atiflow.com" TargetMode="External"/><Relationship Id="rId12" Type="http://schemas.openxmlformats.org/officeDocument/2006/relationships/hyperlink" Target="mailto:Stephane.StPierre@greenfield.com" TargetMode="External"/><Relationship Id="rId33" Type="http://schemas.openxmlformats.org/officeDocument/2006/relationships/hyperlink" Target="mailto:imam@pcr.ac.id" TargetMode="External"/><Relationship Id="rId108" Type="http://schemas.openxmlformats.org/officeDocument/2006/relationships/hyperlink" Target="mailto:bthibodaux@crawfordelectricsupply.com" TargetMode="External"/><Relationship Id="rId129" Type="http://schemas.openxmlformats.org/officeDocument/2006/relationships/hyperlink" Target="mailto:Luis.D.Peugnet@jci.com" TargetMode="External"/><Relationship Id="rId280" Type="http://schemas.openxmlformats.org/officeDocument/2006/relationships/hyperlink" Target="mailto:andrea@atiflow.com" TargetMode="External"/><Relationship Id="rId54" Type="http://schemas.openxmlformats.org/officeDocument/2006/relationships/hyperlink" Target="mailto:zachw@cainodessa.com" TargetMode="External"/><Relationship Id="rId75" Type="http://schemas.openxmlformats.org/officeDocument/2006/relationships/hyperlink" Target="mailto:sales@jalhardware.com" TargetMode="External"/><Relationship Id="rId96" Type="http://schemas.openxmlformats.org/officeDocument/2006/relationships/hyperlink" Target="mailto:elim@cainodessa.com" TargetMode="External"/><Relationship Id="rId140" Type="http://schemas.openxmlformats.org/officeDocument/2006/relationships/hyperlink" Target="mailto:kevin.vicario@mctn.co.id" TargetMode="External"/><Relationship Id="rId161" Type="http://schemas.openxmlformats.org/officeDocument/2006/relationships/hyperlink" Target="mailto:Brinton.Ratcliff@gexpro.com" TargetMode="External"/><Relationship Id="rId182" Type="http://schemas.openxmlformats.org/officeDocument/2006/relationships/hyperlink" Target="mailto:Andrew.Gumpp@wescodist.com" TargetMode="External"/><Relationship Id="rId217" Type="http://schemas.openxmlformats.org/officeDocument/2006/relationships/hyperlink" Target="mailto:bthibodaux@crawfordelectricsupply.com" TargetMode="External"/><Relationship Id="rId6" Type="http://schemas.openxmlformats.org/officeDocument/2006/relationships/hyperlink" Target="mailto:angela.johnson@am.dynonobel.com" TargetMode="External"/><Relationship Id="rId238" Type="http://schemas.openxmlformats.org/officeDocument/2006/relationships/hyperlink" Target="mailto:kamil.bdiwi@ipexna.com" TargetMode="External"/><Relationship Id="rId259" Type="http://schemas.openxmlformats.org/officeDocument/2006/relationships/hyperlink" Target="mailto:andrea@atiflow.com" TargetMode="External"/><Relationship Id="rId23" Type="http://schemas.openxmlformats.org/officeDocument/2006/relationships/hyperlink" Target="mailto:itsincbs@aol.com" TargetMode="External"/><Relationship Id="rId119" Type="http://schemas.openxmlformats.org/officeDocument/2006/relationships/hyperlink" Target="mailto:itsincbs@aol.com" TargetMode="External"/><Relationship Id="rId270" Type="http://schemas.openxmlformats.org/officeDocument/2006/relationships/hyperlink" Target="mailto:andrea@atiflow.com" TargetMode="External"/><Relationship Id="rId44" Type="http://schemas.openxmlformats.org/officeDocument/2006/relationships/hyperlink" Target="mailto:turnerz@mc-mc.com" TargetMode="External"/><Relationship Id="rId65" Type="http://schemas.openxmlformats.org/officeDocument/2006/relationships/hyperlink" Target="mailto:Les.Spencer@graybar.com" TargetMode="External"/><Relationship Id="rId86" Type="http://schemas.openxmlformats.org/officeDocument/2006/relationships/hyperlink" Target="mailto:bthibodaux@crawfordelectricsupply.com" TargetMode="External"/><Relationship Id="rId130" Type="http://schemas.openxmlformats.org/officeDocument/2006/relationships/hyperlink" Target="mailto:gasochem@singnet.com.sg" TargetMode="External"/><Relationship Id="rId151" Type="http://schemas.openxmlformats.org/officeDocument/2006/relationships/hyperlink" Target="mailto:Andrew.Gumpp@wescodist.com" TargetMode="External"/><Relationship Id="rId172" Type="http://schemas.openxmlformats.org/officeDocument/2006/relationships/hyperlink" Target="mailto:chad.hill0707@gmail.com" TargetMode="External"/><Relationship Id="rId193" Type="http://schemas.openxmlformats.org/officeDocument/2006/relationships/hyperlink" Target="mailto:bthibodaux@crawfordelectricsupply.com" TargetMode="External"/><Relationship Id="rId207" Type="http://schemas.openxmlformats.org/officeDocument/2006/relationships/hyperlink" Target="mailto:dsharp@wes-hou.com" TargetMode="External"/><Relationship Id="rId228" Type="http://schemas.openxmlformats.org/officeDocument/2006/relationships/hyperlink" Target="mailto:Andrew.Gumpp@wescodist.com" TargetMode="External"/><Relationship Id="rId249" Type="http://schemas.openxmlformats.org/officeDocument/2006/relationships/hyperlink" Target="mailto:andrea@atiflow.com" TargetMode="External"/><Relationship Id="rId13" Type="http://schemas.openxmlformats.org/officeDocument/2006/relationships/hyperlink" Target="mailto:Stephane.StPierre@greenfield.com" TargetMode="External"/><Relationship Id="rId109" Type="http://schemas.openxmlformats.org/officeDocument/2006/relationships/hyperlink" Target="mailto:tjulasek@reynco.com" TargetMode="External"/><Relationship Id="rId260" Type="http://schemas.openxmlformats.org/officeDocument/2006/relationships/hyperlink" Target="mailto:andrea@atiflow.com" TargetMode="External"/><Relationship Id="rId281" Type="http://schemas.openxmlformats.org/officeDocument/2006/relationships/hyperlink" Target="mailto:andrea@atiflow.com" TargetMode="External"/><Relationship Id="rId34" Type="http://schemas.openxmlformats.org/officeDocument/2006/relationships/hyperlink" Target="mailto:SannA@powertronix.com" TargetMode="External"/><Relationship Id="rId55" Type="http://schemas.openxmlformats.org/officeDocument/2006/relationships/hyperlink" Target="mailto:bthibodaux@crawfordelectricsupply.com" TargetMode="External"/><Relationship Id="rId76" Type="http://schemas.openxmlformats.org/officeDocument/2006/relationships/hyperlink" Target="mailto:elim@cainodessa.com" TargetMode="External"/><Relationship Id="rId97" Type="http://schemas.openxmlformats.org/officeDocument/2006/relationships/hyperlink" Target="mailto:elim@cainodessa.com" TargetMode="External"/><Relationship Id="rId120" Type="http://schemas.openxmlformats.org/officeDocument/2006/relationships/hyperlink" Target="mailto:zachw@cainodessa.com" TargetMode="External"/><Relationship Id="rId141" Type="http://schemas.openxmlformats.org/officeDocument/2006/relationships/hyperlink" Target="mailto:jmacy@crum.com" TargetMode="External"/><Relationship Id="rId7" Type="http://schemas.openxmlformats.org/officeDocument/2006/relationships/hyperlink" Target="mailto:zalina.ngah@rpcm.com.my" TargetMode="External"/><Relationship Id="rId162" Type="http://schemas.openxmlformats.org/officeDocument/2006/relationships/hyperlink" Target="mailto:adminmap@ptmanggala.com" TargetMode="External"/><Relationship Id="rId183" Type="http://schemas.openxmlformats.org/officeDocument/2006/relationships/hyperlink" Target="mailto:Andrew.Gumpp@wescodist.com" TargetMode="External"/><Relationship Id="rId218" Type="http://schemas.openxmlformats.org/officeDocument/2006/relationships/hyperlink" Target="mailto:oshaugsr@airproducts.com" TargetMode="External"/><Relationship Id="rId239" Type="http://schemas.openxmlformats.org/officeDocument/2006/relationships/hyperlink" Target="mailto:babergman@marathonpetroleum.com" TargetMode="External"/><Relationship Id="rId250" Type="http://schemas.openxmlformats.org/officeDocument/2006/relationships/hyperlink" Target="mailto:andrea@atiflow.com" TargetMode="External"/><Relationship Id="rId271" Type="http://schemas.openxmlformats.org/officeDocument/2006/relationships/hyperlink" Target="mailto:andrea@atiflow.com" TargetMode="External"/><Relationship Id="rId24" Type="http://schemas.openxmlformats.org/officeDocument/2006/relationships/hyperlink" Target="mailto:itsincbs@aol.com" TargetMode="External"/><Relationship Id="rId45" Type="http://schemas.openxmlformats.org/officeDocument/2006/relationships/hyperlink" Target="mailto:turnerz@mc-mc.com" TargetMode="External"/><Relationship Id="rId66" Type="http://schemas.openxmlformats.org/officeDocument/2006/relationships/hyperlink" Target="mailto:bthibodaux@crawfordelectricsupply.com" TargetMode="External"/><Relationship Id="rId87" Type="http://schemas.openxmlformats.org/officeDocument/2006/relationships/hyperlink" Target="mailto:bthibodaux@crawfordelectricsupply.com" TargetMode="External"/><Relationship Id="rId110" Type="http://schemas.openxmlformats.org/officeDocument/2006/relationships/hyperlink" Target="mailto:eric.magee@graybar.com" TargetMode="External"/><Relationship Id="rId131" Type="http://schemas.openxmlformats.org/officeDocument/2006/relationships/hyperlink" Target="mailto:richard.pasternak1@merck.com" TargetMode="External"/><Relationship Id="rId152" Type="http://schemas.openxmlformats.org/officeDocument/2006/relationships/hyperlink" Target="mailto:bthibodaux@crawfordelectricsupply.com" TargetMode="External"/><Relationship Id="rId173" Type="http://schemas.openxmlformats.org/officeDocument/2006/relationships/hyperlink" Target="mailto:yishengindustry@163.com" TargetMode="External"/><Relationship Id="rId194" Type="http://schemas.openxmlformats.org/officeDocument/2006/relationships/hyperlink" Target="mailto:riley.blair@fortresseng.com" TargetMode="External"/><Relationship Id="rId208" Type="http://schemas.openxmlformats.org/officeDocument/2006/relationships/hyperlink" Target="mailto:mariana.robles@rockwellautomation.com" TargetMode="External"/><Relationship Id="rId229" Type="http://schemas.openxmlformats.org/officeDocument/2006/relationships/hyperlink" Target="mailto:Andrew.Gumpp@wescodist.com" TargetMode="External"/><Relationship Id="rId240" Type="http://schemas.openxmlformats.org/officeDocument/2006/relationships/hyperlink" Target="mailto:babergman@marathonpetroleum.com" TargetMode="External"/><Relationship Id="rId261" Type="http://schemas.openxmlformats.org/officeDocument/2006/relationships/hyperlink" Target="mailto:andrea@atiflow.com" TargetMode="External"/><Relationship Id="rId14" Type="http://schemas.openxmlformats.org/officeDocument/2006/relationships/hyperlink" Target="mailto:Stephane.StPierre@greenfield.com" TargetMode="External"/><Relationship Id="rId35" Type="http://schemas.openxmlformats.org/officeDocument/2006/relationships/hyperlink" Target="mailto:garry.seaman@blackwoods.com.au" TargetMode="External"/><Relationship Id="rId56" Type="http://schemas.openxmlformats.org/officeDocument/2006/relationships/hyperlink" Target="mailto:bthibodaux@crawfordelectricsupply.com" TargetMode="External"/><Relationship Id="rId77" Type="http://schemas.openxmlformats.org/officeDocument/2006/relationships/hyperlink" Target="mailto:jmckinny@cc-electric.com" TargetMode="External"/><Relationship Id="rId100" Type="http://schemas.openxmlformats.org/officeDocument/2006/relationships/hyperlink" Target="mailto:mmccalla@wesco.com" TargetMode="External"/><Relationship Id="rId282" Type="http://schemas.openxmlformats.org/officeDocument/2006/relationships/hyperlink" Target="mailto:reckston@goldenpalm.com.kw" TargetMode="External"/><Relationship Id="rId8" Type="http://schemas.openxmlformats.org/officeDocument/2006/relationships/hyperlink" Target="mailto:zalina.ngah@rpcm.com.my" TargetMode="External"/><Relationship Id="rId98" Type="http://schemas.openxmlformats.org/officeDocument/2006/relationships/hyperlink" Target="mailto:bthibodaux@crawfordelectricsupply.com" TargetMode="External"/><Relationship Id="rId121" Type="http://schemas.openxmlformats.org/officeDocument/2006/relationships/hyperlink" Target="mailto:parker.johnson@graybar.com" TargetMode="External"/><Relationship Id="rId142" Type="http://schemas.openxmlformats.org/officeDocument/2006/relationships/hyperlink" Target="mailto:Amro.gomaa@TSAR-LLC.com" TargetMode="External"/><Relationship Id="rId163" Type="http://schemas.openxmlformats.org/officeDocument/2006/relationships/hyperlink" Target="mailto:andrea@atiflow.com" TargetMode="External"/><Relationship Id="rId184" Type="http://schemas.openxmlformats.org/officeDocument/2006/relationships/hyperlink" Target="mailto:mariana.robles@rockwellautomation.com" TargetMode="External"/><Relationship Id="rId219" Type="http://schemas.openxmlformats.org/officeDocument/2006/relationships/hyperlink" Target="mailto:Stephane.StPierre@greenfield.com" TargetMode="External"/><Relationship Id="rId230" Type="http://schemas.openxmlformats.org/officeDocument/2006/relationships/hyperlink" Target="mailto:bthibodaux@crawfordelectricsupply.com" TargetMode="External"/><Relationship Id="rId251" Type="http://schemas.openxmlformats.org/officeDocument/2006/relationships/hyperlink" Target="mailto:andrea@atiflow.com" TargetMode="External"/><Relationship Id="rId25" Type="http://schemas.openxmlformats.org/officeDocument/2006/relationships/hyperlink" Target="mailto:itsincbs@aol.com" TargetMode="External"/><Relationship Id="rId46" Type="http://schemas.openxmlformats.org/officeDocument/2006/relationships/hyperlink" Target="mailto:monteelectric@optonline.net" TargetMode="External"/><Relationship Id="rId67" Type="http://schemas.openxmlformats.org/officeDocument/2006/relationships/hyperlink" Target="mailto:bowen.wang@powellind.com" TargetMode="External"/><Relationship Id="rId272" Type="http://schemas.openxmlformats.org/officeDocument/2006/relationships/hyperlink" Target="mailto:andrea@atiflow.com" TargetMode="External"/><Relationship Id="rId88" Type="http://schemas.openxmlformats.org/officeDocument/2006/relationships/hyperlink" Target="mailto:anthony.elias@graybar.com" TargetMode="External"/><Relationship Id="rId111" Type="http://schemas.openxmlformats.org/officeDocument/2006/relationships/hyperlink" Target="mailto:zachw@cainodessa.com" TargetMode="External"/><Relationship Id="rId132" Type="http://schemas.openxmlformats.org/officeDocument/2006/relationships/hyperlink" Target="mailto:adam.castille@summit.com" TargetMode="External"/><Relationship Id="rId153" Type="http://schemas.openxmlformats.org/officeDocument/2006/relationships/hyperlink" Target="mailto:bthibodaux@crawfordelectricsupply.com" TargetMode="External"/><Relationship Id="rId174" Type="http://schemas.openxmlformats.org/officeDocument/2006/relationships/hyperlink" Target="mailto:andrea@atiflow.com" TargetMode="External"/><Relationship Id="rId195" Type="http://schemas.openxmlformats.org/officeDocument/2006/relationships/hyperlink" Target="mailto:bthibodaux@crawfordelectricsupply.com" TargetMode="External"/><Relationship Id="rId209" Type="http://schemas.openxmlformats.org/officeDocument/2006/relationships/hyperlink" Target="mailto:mariana.robles@rockwellautomation.com" TargetMode="External"/><Relationship Id="rId220" Type="http://schemas.openxmlformats.org/officeDocument/2006/relationships/hyperlink" Target="mailto:bthibodaux@crawfordelectricsupply.com" TargetMode="External"/><Relationship Id="rId241" Type="http://schemas.openxmlformats.org/officeDocument/2006/relationships/hyperlink" Target="mailto:babergman@marathonpetroleum.com" TargetMode="External"/><Relationship Id="rId15" Type="http://schemas.openxmlformats.org/officeDocument/2006/relationships/hyperlink" Target="mailto:Stephane.StPierre@greenfield.com" TargetMode="External"/><Relationship Id="rId36" Type="http://schemas.openxmlformats.org/officeDocument/2006/relationships/hyperlink" Target="mailto:RFQ@premiergpc.com" TargetMode="External"/><Relationship Id="rId57" Type="http://schemas.openxmlformats.org/officeDocument/2006/relationships/hyperlink" Target="mailto:service@817.com.tw" TargetMode="External"/><Relationship Id="rId262" Type="http://schemas.openxmlformats.org/officeDocument/2006/relationships/hyperlink" Target="mailto:andrea@atiflow.com" TargetMode="External"/><Relationship Id="rId283" Type="http://schemas.openxmlformats.org/officeDocument/2006/relationships/hyperlink" Target="mailto:reckston@goldenpalm.com.kw" TargetMode="External"/><Relationship Id="rId78" Type="http://schemas.openxmlformats.org/officeDocument/2006/relationships/hyperlink" Target="mailto:jmckinny@cc-electric.com" TargetMode="External"/><Relationship Id="rId99" Type="http://schemas.openxmlformats.org/officeDocument/2006/relationships/hyperlink" Target="mailto:bthibodaux@crawfordelectricsupply.com" TargetMode="External"/><Relationship Id="rId101" Type="http://schemas.openxmlformats.org/officeDocument/2006/relationships/hyperlink" Target="mailto:sartinrf@airproducts.com" TargetMode="External"/><Relationship Id="rId122" Type="http://schemas.openxmlformats.org/officeDocument/2006/relationships/hyperlink" Target="mailto:bthibodaux@crawfordelectricsupply.com" TargetMode="External"/><Relationship Id="rId143" Type="http://schemas.openxmlformats.org/officeDocument/2006/relationships/hyperlink" Target="mailto:faiz.mohamed@totalenergies.com" TargetMode="External"/><Relationship Id="rId164" Type="http://schemas.openxmlformats.org/officeDocument/2006/relationships/hyperlink" Target="mailto:andrea@atiflow.com" TargetMode="External"/><Relationship Id="rId185" Type="http://schemas.openxmlformats.org/officeDocument/2006/relationships/hyperlink" Target="mailto:mariana.robles@rockwellautomation.com" TargetMode="External"/><Relationship Id="rId9" Type="http://schemas.openxmlformats.org/officeDocument/2006/relationships/hyperlink" Target="mailto:turnerz@mc-mc.com" TargetMode="External"/><Relationship Id="rId210" Type="http://schemas.openxmlformats.org/officeDocument/2006/relationships/hyperlink" Target="mailto:Reba.Martin@stateelectric.com" TargetMode="External"/><Relationship Id="rId26" Type="http://schemas.openxmlformats.org/officeDocument/2006/relationships/hyperlink" Target="mailto:itsincbs@aol.com" TargetMode="External"/><Relationship Id="rId231" Type="http://schemas.openxmlformats.org/officeDocument/2006/relationships/hyperlink" Target="mailto:chase.fuller@summit.com" TargetMode="External"/><Relationship Id="rId252" Type="http://schemas.openxmlformats.org/officeDocument/2006/relationships/hyperlink" Target="mailto:Stephane.StPierre@greenfield.com" TargetMode="External"/><Relationship Id="rId273" Type="http://schemas.openxmlformats.org/officeDocument/2006/relationships/hyperlink" Target="mailto:andrea@atiflow.com" TargetMode="External"/><Relationship Id="rId47" Type="http://schemas.openxmlformats.org/officeDocument/2006/relationships/hyperlink" Target="mailto:monteelectric@optonline.net" TargetMode="External"/><Relationship Id="rId68" Type="http://schemas.openxmlformats.org/officeDocument/2006/relationships/hyperlink" Target="mailto:bthibodaux@crawfordelectricsupply.com" TargetMode="External"/><Relationship Id="rId89" Type="http://schemas.openxmlformats.org/officeDocument/2006/relationships/hyperlink" Target="mailto:tjlandry@reynco.com" TargetMode="External"/><Relationship Id="rId112" Type="http://schemas.openxmlformats.org/officeDocument/2006/relationships/hyperlink" Target="mailto:sam@systemseastinc.com" TargetMode="External"/><Relationship Id="rId133" Type="http://schemas.openxmlformats.org/officeDocument/2006/relationships/hyperlink" Target="mailto:SannA@powertronix.com" TargetMode="External"/><Relationship Id="rId154" Type="http://schemas.openxmlformats.org/officeDocument/2006/relationships/hyperlink" Target="mailto:bthibodaux@crawfordelectricsupply.com" TargetMode="External"/><Relationship Id="rId175" Type="http://schemas.openxmlformats.org/officeDocument/2006/relationships/hyperlink" Target="mailto:bthibodaux@crawfordelectricsupply.com" TargetMode="External"/><Relationship Id="rId196" Type="http://schemas.openxmlformats.org/officeDocument/2006/relationships/hyperlink" Target="mailto:bthibodaux@crawfordelectricsupply.com" TargetMode="External"/><Relationship Id="rId200" Type="http://schemas.openxmlformats.org/officeDocument/2006/relationships/hyperlink" Target="mailto:Henry.Lindgren@eciusa.com" TargetMode="External"/><Relationship Id="rId16" Type="http://schemas.openxmlformats.org/officeDocument/2006/relationships/hyperlink" Target="mailto:jmckinny@cc-electric.com" TargetMode="External"/><Relationship Id="rId221" Type="http://schemas.openxmlformats.org/officeDocument/2006/relationships/hyperlink" Target="mailto:bthibodaux@crawfordelectricsupply.com" TargetMode="External"/><Relationship Id="rId242" Type="http://schemas.openxmlformats.org/officeDocument/2006/relationships/hyperlink" Target="mailto:jpietruszewski@vanmeterinc.com" TargetMode="External"/><Relationship Id="rId263" Type="http://schemas.openxmlformats.org/officeDocument/2006/relationships/hyperlink" Target="mailto:andrea@atiflow.com" TargetMode="External"/><Relationship Id="rId284" Type="http://schemas.openxmlformats.org/officeDocument/2006/relationships/hyperlink" Target="mailto:bsheets@crawfordelectricsupply.com" TargetMode="External"/><Relationship Id="rId37" Type="http://schemas.openxmlformats.org/officeDocument/2006/relationships/hyperlink" Target="mailto:Latonya.Lawrence@powellind.com" TargetMode="External"/><Relationship Id="rId58" Type="http://schemas.openxmlformats.org/officeDocument/2006/relationships/hyperlink" Target="mailto:service@817.com.tw" TargetMode="External"/><Relationship Id="rId79" Type="http://schemas.openxmlformats.org/officeDocument/2006/relationships/hyperlink" Target="mailto:bthibodaux@crawfordelectricsupply.com" TargetMode="External"/><Relationship Id="rId102" Type="http://schemas.openxmlformats.org/officeDocument/2006/relationships/hyperlink" Target="mailto:bthibodaux@crawfordelectricsupply.com" TargetMode="External"/><Relationship Id="rId123" Type="http://schemas.openxmlformats.org/officeDocument/2006/relationships/hyperlink" Target="mailto:bradenw@cainmidland.com" TargetMode="External"/><Relationship Id="rId144" Type="http://schemas.openxmlformats.org/officeDocument/2006/relationships/hyperlink" Target="mailto:bthibodaux@crawfordelectricsupply.com" TargetMode="External"/><Relationship Id="rId90" Type="http://schemas.openxmlformats.org/officeDocument/2006/relationships/hyperlink" Target="mailto:bthibodaux@crawfordelectricsupply.com" TargetMode="External"/><Relationship Id="rId165" Type="http://schemas.openxmlformats.org/officeDocument/2006/relationships/hyperlink" Target="mailto:babergman@marathonpetroleum.com" TargetMode="External"/><Relationship Id="rId186" Type="http://schemas.openxmlformats.org/officeDocument/2006/relationships/hyperlink" Target="mailto:mariana.robles@rockwellautomation.com" TargetMode="External"/><Relationship Id="rId211" Type="http://schemas.openxmlformats.org/officeDocument/2006/relationships/hyperlink" Target="mailto:mikepottenger@yahoo.com" TargetMode="External"/><Relationship Id="rId232" Type="http://schemas.openxmlformats.org/officeDocument/2006/relationships/hyperlink" Target="mailto:bob@brownsecuritysystems.com" TargetMode="External"/><Relationship Id="rId253" Type="http://schemas.openxmlformats.org/officeDocument/2006/relationships/hyperlink" Target="mailto:Stephane.StPierre@greenfield.com" TargetMode="External"/><Relationship Id="rId274" Type="http://schemas.openxmlformats.org/officeDocument/2006/relationships/hyperlink" Target="mailto:andrea@atiflow.com" TargetMode="External"/><Relationship Id="rId27" Type="http://schemas.openxmlformats.org/officeDocument/2006/relationships/hyperlink" Target="mailto:aandrews@deserthillsinc.com" TargetMode="External"/><Relationship Id="rId48" Type="http://schemas.openxmlformats.org/officeDocument/2006/relationships/hyperlink" Target="mailto:bowen.wang@powellind.com" TargetMode="External"/><Relationship Id="rId69" Type="http://schemas.openxmlformats.org/officeDocument/2006/relationships/hyperlink" Target="mailto:bthibodaux@crawfordelectricsupply.com" TargetMode="External"/><Relationship Id="rId113" Type="http://schemas.openxmlformats.org/officeDocument/2006/relationships/hyperlink" Target="mailto:tjvlasek@reynco.com" TargetMode="External"/><Relationship Id="rId134" Type="http://schemas.openxmlformats.org/officeDocument/2006/relationships/hyperlink" Target="mailto:zalina.ngah@rpcm.com.my" TargetMode="External"/><Relationship Id="rId80" Type="http://schemas.openxmlformats.org/officeDocument/2006/relationships/hyperlink" Target="mailto:cqar@chevron.com" TargetMode="External"/><Relationship Id="rId155" Type="http://schemas.openxmlformats.org/officeDocument/2006/relationships/hyperlink" Target="mailto:Andrew.Gumpp@wescodist.com" TargetMode="External"/><Relationship Id="rId176" Type="http://schemas.openxmlformats.org/officeDocument/2006/relationships/hyperlink" Target="mailto:mariana.robles@rockwellautomation.com" TargetMode="External"/><Relationship Id="rId197" Type="http://schemas.openxmlformats.org/officeDocument/2006/relationships/hyperlink" Target="mailto:Henry.Lindgren@eciusa.com" TargetMode="External"/><Relationship Id="rId201" Type="http://schemas.openxmlformats.org/officeDocument/2006/relationships/hyperlink" Target="mailto:Henry.Lindgren@eciusa.com" TargetMode="External"/><Relationship Id="rId222" Type="http://schemas.openxmlformats.org/officeDocument/2006/relationships/hyperlink" Target="mailto:bthibodaux@crawfordelectricsupply.com" TargetMode="External"/><Relationship Id="rId243" Type="http://schemas.openxmlformats.org/officeDocument/2006/relationships/hyperlink" Target="mailto:SBUFFIE@Ra.rockwell.com" TargetMode="External"/><Relationship Id="rId264" Type="http://schemas.openxmlformats.org/officeDocument/2006/relationships/hyperlink" Target="mailto:SannA@powertronix.com" TargetMode="External"/><Relationship Id="rId285" Type="http://schemas.openxmlformats.org/officeDocument/2006/relationships/hyperlink" Target="mailto:bsheets@crawfordelectricsupply.com" TargetMode="External"/><Relationship Id="rId17" Type="http://schemas.openxmlformats.org/officeDocument/2006/relationships/hyperlink" Target="mailto:jmckinny@cc-electric.com" TargetMode="External"/><Relationship Id="rId38" Type="http://schemas.openxmlformats.org/officeDocument/2006/relationships/hyperlink" Target="mailto:Ari_Jabbar@oxy.com" TargetMode="External"/><Relationship Id="rId59" Type="http://schemas.openxmlformats.org/officeDocument/2006/relationships/hyperlink" Target="mailto:service@817.com.tw" TargetMode="External"/><Relationship Id="rId103" Type="http://schemas.openxmlformats.org/officeDocument/2006/relationships/hyperlink" Target="mailto:bthibodaux@crawfordelectricsupply.com" TargetMode="External"/><Relationship Id="rId124" Type="http://schemas.openxmlformats.org/officeDocument/2006/relationships/hyperlink" Target="mailto:tjulasek@reynco.com" TargetMode="External"/><Relationship Id="rId70" Type="http://schemas.openxmlformats.org/officeDocument/2006/relationships/hyperlink" Target="mailto:bthibodaux@crawfordelectricsupply.com" TargetMode="External"/><Relationship Id="rId91" Type="http://schemas.openxmlformats.org/officeDocument/2006/relationships/hyperlink" Target="mailto:service@817.com.tw" TargetMode="External"/><Relationship Id="rId145" Type="http://schemas.openxmlformats.org/officeDocument/2006/relationships/hyperlink" Target="mailto:joshua.e.kao@p66.com" TargetMode="External"/><Relationship Id="rId166" Type="http://schemas.openxmlformats.org/officeDocument/2006/relationships/hyperlink" Target="mailto:kevin.vicario@mctn.co.id" TargetMode="External"/><Relationship Id="rId187" Type="http://schemas.openxmlformats.org/officeDocument/2006/relationships/hyperlink" Target="mailto:bthibodaux@crawfordelectricsupply.com" TargetMode="External"/><Relationship Id="rId1" Type="http://schemas.openxmlformats.org/officeDocument/2006/relationships/hyperlink" Target="mailto:david.cheng@genergy.cn" TargetMode="External"/><Relationship Id="rId212" Type="http://schemas.openxmlformats.org/officeDocument/2006/relationships/hyperlink" Target="mailto:mikepottenger@yahoo.com" TargetMode="External"/><Relationship Id="rId233" Type="http://schemas.openxmlformats.org/officeDocument/2006/relationships/hyperlink" Target="mailto:reckston@goldenpalm.com.kw" TargetMode="External"/><Relationship Id="rId254" Type="http://schemas.openxmlformats.org/officeDocument/2006/relationships/hyperlink" Target="mailto:Stephane.StPierre@greenfield.com" TargetMode="External"/><Relationship Id="rId28" Type="http://schemas.openxmlformats.org/officeDocument/2006/relationships/hyperlink" Target="mailto:jrosser@borderstates.com" TargetMode="External"/><Relationship Id="rId49" Type="http://schemas.openxmlformats.org/officeDocument/2006/relationships/hyperlink" Target="mailto:bthibodaux@crawfordelectricsupply.com" TargetMode="External"/><Relationship Id="rId114" Type="http://schemas.openxmlformats.org/officeDocument/2006/relationships/hyperlink" Target="mailto:bthibodaux@crawfordelectricsupply.com" TargetMode="External"/><Relationship Id="rId275" Type="http://schemas.openxmlformats.org/officeDocument/2006/relationships/hyperlink" Target="mailto:itsincbs@aol.com" TargetMode="External"/><Relationship Id="rId60" Type="http://schemas.openxmlformats.org/officeDocument/2006/relationships/hyperlink" Target="mailto:bthibodaux@crawfordelectricsupply.com" TargetMode="External"/><Relationship Id="rId81" Type="http://schemas.openxmlformats.org/officeDocument/2006/relationships/hyperlink" Target="mailto:elim@cainodessa.com" TargetMode="External"/><Relationship Id="rId135" Type="http://schemas.openxmlformats.org/officeDocument/2006/relationships/hyperlink" Target="mailto:jadame@allcurrent.com" TargetMode="External"/><Relationship Id="rId156" Type="http://schemas.openxmlformats.org/officeDocument/2006/relationships/hyperlink" Target="mailto:lelders@crawfordelectricsupply.com" TargetMode="External"/><Relationship Id="rId177" Type="http://schemas.openxmlformats.org/officeDocument/2006/relationships/hyperlink" Target="mailto:zachw@cainodessa.com" TargetMode="External"/><Relationship Id="rId198" Type="http://schemas.openxmlformats.org/officeDocument/2006/relationships/hyperlink" Target="mailto:Henry.Lindgren@eciusa.com" TargetMode="External"/><Relationship Id="rId202" Type="http://schemas.openxmlformats.org/officeDocument/2006/relationships/hyperlink" Target="mailto:Henry.Lindgren@eciusa.com" TargetMode="External"/><Relationship Id="rId223" Type="http://schemas.openxmlformats.org/officeDocument/2006/relationships/hyperlink" Target="mailto:connorf@caincarlsbad.com" TargetMode="External"/><Relationship Id="rId244" Type="http://schemas.openxmlformats.org/officeDocument/2006/relationships/hyperlink" Target="mailto:sebastian.surugiu@hfsinclair.com" TargetMode="External"/><Relationship Id="rId18" Type="http://schemas.openxmlformats.org/officeDocument/2006/relationships/hyperlink" Target="mailto:HunterLiotto@elliottelectric.com" TargetMode="External"/><Relationship Id="rId39" Type="http://schemas.openxmlformats.org/officeDocument/2006/relationships/hyperlink" Target="mailto:Stephane.StPierre@greenfield.com" TargetMode="External"/><Relationship Id="rId265" Type="http://schemas.openxmlformats.org/officeDocument/2006/relationships/hyperlink" Target="mailto:david.cheng@genergy.cn" TargetMode="External"/><Relationship Id="rId286" Type="http://schemas.openxmlformats.org/officeDocument/2006/relationships/hyperlink" Target="mailto:bsheets@crawfordelectricsupply.com" TargetMode="External"/><Relationship Id="rId50" Type="http://schemas.openxmlformats.org/officeDocument/2006/relationships/hyperlink" Target="mailto:kclouse@crawfordelectricsupply.com" TargetMode="External"/><Relationship Id="rId104" Type="http://schemas.openxmlformats.org/officeDocument/2006/relationships/hyperlink" Target="mailto:bthibodaux@crawfordelectricsupply.com" TargetMode="External"/><Relationship Id="rId125" Type="http://schemas.openxmlformats.org/officeDocument/2006/relationships/hyperlink" Target="mailto:eric.magee@graybar.com" TargetMode="External"/><Relationship Id="rId146" Type="http://schemas.openxmlformats.org/officeDocument/2006/relationships/hyperlink" Target="mailto:Andrew.Gumpp@wescodist.com" TargetMode="External"/><Relationship Id="rId167" Type="http://schemas.openxmlformats.org/officeDocument/2006/relationships/hyperlink" Target="mailto:kevin.vicario@mctn.co.id" TargetMode="External"/><Relationship Id="rId188" Type="http://schemas.openxmlformats.org/officeDocument/2006/relationships/hyperlink" Target="mailto:andrea@atiflow.com" TargetMode="External"/><Relationship Id="rId71" Type="http://schemas.openxmlformats.org/officeDocument/2006/relationships/hyperlink" Target="mailto:bthibodaux@crawfordelectricsupply.com" TargetMode="External"/><Relationship Id="rId92" Type="http://schemas.openxmlformats.org/officeDocument/2006/relationships/hyperlink" Target="mailto:tjlandry@reynco.com" TargetMode="External"/><Relationship Id="rId213" Type="http://schemas.openxmlformats.org/officeDocument/2006/relationships/hyperlink" Target="mailto:Reba.Martin@stateelectric.com" TargetMode="External"/><Relationship Id="rId234" Type="http://schemas.openxmlformats.org/officeDocument/2006/relationships/hyperlink" Target="mailto:reckston@goldenpalm.com.kw" TargetMode="External"/><Relationship Id="rId2" Type="http://schemas.openxmlformats.org/officeDocument/2006/relationships/hyperlink" Target="mailto:david.cheng@genergy.cn" TargetMode="External"/><Relationship Id="rId29" Type="http://schemas.openxmlformats.org/officeDocument/2006/relationships/hyperlink" Target="mailto:elim@cainodessa.com" TargetMode="External"/><Relationship Id="rId255" Type="http://schemas.openxmlformats.org/officeDocument/2006/relationships/hyperlink" Target="mailto:Stephane.StPierre@greenfield.com" TargetMode="External"/><Relationship Id="rId276" Type="http://schemas.openxmlformats.org/officeDocument/2006/relationships/hyperlink" Target="mailto:itsincbs@aol.com" TargetMode="External"/><Relationship Id="rId40" Type="http://schemas.openxmlformats.org/officeDocument/2006/relationships/hyperlink" Target="mailto:Stephane.StPierre@greenfield.com" TargetMode="External"/><Relationship Id="rId115" Type="http://schemas.openxmlformats.org/officeDocument/2006/relationships/hyperlink" Target="mailto:david.wedge@mnk.com" TargetMode="External"/><Relationship Id="rId136" Type="http://schemas.openxmlformats.org/officeDocument/2006/relationships/hyperlink" Target="mailto:bthibodaux@crawfordelectricsupply.com" TargetMode="External"/><Relationship Id="rId157" Type="http://schemas.openxmlformats.org/officeDocument/2006/relationships/hyperlink" Target="mailto:lelders@crawfordelectricsupply.com" TargetMode="External"/><Relationship Id="rId178" Type="http://schemas.openxmlformats.org/officeDocument/2006/relationships/hyperlink" Target="mailto:zachw@cainodessa.com" TargetMode="External"/><Relationship Id="rId61" Type="http://schemas.openxmlformats.org/officeDocument/2006/relationships/hyperlink" Target="mailto:jmckinny@cc-electric.com" TargetMode="External"/><Relationship Id="rId82" Type="http://schemas.openxmlformats.org/officeDocument/2006/relationships/hyperlink" Target="mailto:bthibodaux@crawfordelectricsupply.com" TargetMode="External"/><Relationship Id="rId199" Type="http://schemas.openxmlformats.org/officeDocument/2006/relationships/hyperlink" Target="mailto:Henry.Lindgren@eciusa.com" TargetMode="External"/><Relationship Id="rId203" Type="http://schemas.openxmlformats.org/officeDocument/2006/relationships/hyperlink" Target="mailto:Henry.Lindgren@eciusa.com" TargetMode="External"/><Relationship Id="rId19" Type="http://schemas.openxmlformats.org/officeDocument/2006/relationships/hyperlink" Target="mailto:turnerz@mc-mc.com" TargetMode="External"/><Relationship Id="rId224" Type="http://schemas.openxmlformats.org/officeDocument/2006/relationships/hyperlink" Target="mailto:zalina.ngah@rpcm.com.my" TargetMode="External"/><Relationship Id="rId245" Type="http://schemas.openxmlformats.org/officeDocument/2006/relationships/hyperlink" Target="mailto:sebastian.surugiu@hfsinclair.com" TargetMode="External"/><Relationship Id="rId266" Type="http://schemas.openxmlformats.org/officeDocument/2006/relationships/hyperlink" Target="mailto:david.cheng@genergy.cn" TargetMode="External"/><Relationship Id="rId287" Type="http://schemas.openxmlformats.org/officeDocument/2006/relationships/printerSettings" Target="../printerSettings/printerSettings3.bin"/><Relationship Id="rId30" Type="http://schemas.openxmlformats.org/officeDocument/2006/relationships/hyperlink" Target="mailto:tmuglia@psands.com" TargetMode="External"/><Relationship Id="rId105" Type="http://schemas.openxmlformats.org/officeDocument/2006/relationships/hyperlink" Target="mailto:James.Allison@duke-energy.com" TargetMode="External"/><Relationship Id="rId126" Type="http://schemas.openxmlformats.org/officeDocument/2006/relationships/hyperlink" Target="mailto:Stephane.StPierre@greenfield.com" TargetMode="External"/><Relationship Id="rId147" Type="http://schemas.openxmlformats.org/officeDocument/2006/relationships/hyperlink" Target="mailto:Andrew.Gumpp@wescodist.com" TargetMode="External"/><Relationship Id="rId168" Type="http://schemas.openxmlformats.org/officeDocument/2006/relationships/hyperlink" Target="mailto:zalina.ngah@rpcm.com.my" TargetMode="External"/><Relationship Id="rId51" Type="http://schemas.openxmlformats.org/officeDocument/2006/relationships/hyperlink" Target="mailto:Tim.Bludau@contractor.p66.com" TargetMode="External"/><Relationship Id="rId72" Type="http://schemas.openxmlformats.org/officeDocument/2006/relationships/hyperlink" Target="mailto:iacamacho@reynco.com" TargetMode="External"/><Relationship Id="rId93" Type="http://schemas.openxmlformats.org/officeDocument/2006/relationships/hyperlink" Target="mailto:itsincbs@aol.com" TargetMode="External"/><Relationship Id="rId189" Type="http://schemas.openxmlformats.org/officeDocument/2006/relationships/hyperlink" Target="mailto:bthibodaux@crawfordelectricsupply.com" TargetMode="External"/><Relationship Id="rId3" Type="http://schemas.openxmlformats.org/officeDocument/2006/relationships/hyperlink" Target="mailto:david.cheng@genergy.cn" TargetMode="External"/><Relationship Id="rId214" Type="http://schemas.openxmlformats.org/officeDocument/2006/relationships/hyperlink" Target="mailto:zachw@cainodessa.com" TargetMode="External"/><Relationship Id="rId235" Type="http://schemas.openxmlformats.org/officeDocument/2006/relationships/hyperlink" Target="mailto:iperez@camintegrated.com" TargetMode="External"/><Relationship Id="rId256" Type="http://schemas.openxmlformats.org/officeDocument/2006/relationships/hyperlink" Target="mailto:dmele@kmml.com" TargetMode="External"/><Relationship Id="rId277" Type="http://schemas.openxmlformats.org/officeDocument/2006/relationships/hyperlink" Target="mailto:mariana.robles@rockwellautomation.com" TargetMode="External"/><Relationship Id="rId116" Type="http://schemas.openxmlformats.org/officeDocument/2006/relationships/hyperlink" Target="mailto:Carter.Templet@summit.com" TargetMode="External"/><Relationship Id="rId137" Type="http://schemas.openxmlformats.org/officeDocument/2006/relationships/hyperlink" Target="mailto:eric.magee@graybar.com" TargetMode="External"/><Relationship Id="rId158" Type="http://schemas.openxmlformats.org/officeDocument/2006/relationships/hyperlink" Target="mailto:bthibodaux@crawfordelectricsupply.com" TargetMode="External"/><Relationship Id="rId20" Type="http://schemas.openxmlformats.org/officeDocument/2006/relationships/hyperlink" Target="mailto:Stephane.StPierre@greenfield.com" TargetMode="External"/><Relationship Id="rId41" Type="http://schemas.openxmlformats.org/officeDocument/2006/relationships/hyperlink" Target="mailto:Stephane.StPierre@greenfield.com" TargetMode="External"/><Relationship Id="rId62" Type="http://schemas.openxmlformats.org/officeDocument/2006/relationships/hyperlink" Target="mailto:jmckinny@cc-electric.com" TargetMode="External"/><Relationship Id="rId83" Type="http://schemas.openxmlformats.org/officeDocument/2006/relationships/hyperlink" Target="mailto:zalina.ngah@rpcm.com.my" TargetMode="External"/><Relationship Id="rId179" Type="http://schemas.openxmlformats.org/officeDocument/2006/relationships/hyperlink" Target="mailto:Andrew.Gumpp@wescodist.com" TargetMode="External"/><Relationship Id="rId190" Type="http://schemas.openxmlformats.org/officeDocument/2006/relationships/hyperlink" Target="mailto:andrea@atiflow.com" TargetMode="External"/><Relationship Id="rId204" Type="http://schemas.openxmlformats.org/officeDocument/2006/relationships/hyperlink" Target="mailto:Henry.Lindgren@eciusa.com" TargetMode="External"/><Relationship Id="rId225" Type="http://schemas.openxmlformats.org/officeDocument/2006/relationships/hyperlink" Target="mailto:zalina.ngah@rpcm.com.my" TargetMode="External"/><Relationship Id="rId246" Type="http://schemas.openxmlformats.org/officeDocument/2006/relationships/hyperlink" Target="mailto:sebastian.surugiu@hfsinclair.com" TargetMode="External"/><Relationship Id="rId267" Type="http://schemas.openxmlformats.org/officeDocument/2006/relationships/hyperlink" Target="mailto:david.cheng@genergy.cn" TargetMode="External"/><Relationship Id="rId288" Type="http://schemas.openxmlformats.org/officeDocument/2006/relationships/vmlDrawing" Target="../drawings/vmlDrawing2.vml"/><Relationship Id="rId106" Type="http://schemas.openxmlformats.org/officeDocument/2006/relationships/hyperlink" Target="mailto:cmbeaty@reynco.com" TargetMode="External"/><Relationship Id="rId127" Type="http://schemas.openxmlformats.org/officeDocument/2006/relationships/hyperlink" Target="mailto:david.dreano@graybar.com" TargetMode="External"/><Relationship Id="rId10" Type="http://schemas.openxmlformats.org/officeDocument/2006/relationships/hyperlink" Target="mailto:elim@cainodessa.com" TargetMode="External"/><Relationship Id="rId31" Type="http://schemas.openxmlformats.org/officeDocument/2006/relationships/hyperlink" Target="mailto:elim@cainodessa.com" TargetMode="External"/><Relationship Id="rId52" Type="http://schemas.openxmlformats.org/officeDocument/2006/relationships/hyperlink" Target="mailto:bowen.wang@powellind.com" TargetMode="External"/><Relationship Id="rId73" Type="http://schemas.openxmlformats.org/officeDocument/2006/relationships/hyperlink" Target="mailto:iacamacho@reynco.com" TargetMode="External"/><Relationship Id="rId94" Type="http://schemas.openxmlformats.org/officeDocument/2006/relationships/hyperlink" Target="mailto:itsincbs@aol.com" TargetMode="External"/><Relationship Id="rId148" Type="http://schemas.openxmlformats.org/officeDocument/2006/relationships/hyperlink" Target="mailto:Andrew.Gumpp@wescodist.com" TargetMode="External"/><Relationship Id="rId169" Type="http://schemas.openxmlformats.org/officeDocument/2006/relationships/hyperlink" Target="mailto:zalina.ngah@rpcm.com.my" TargetMode="External"/><Relationship Id="rId4" Type="http://schemas.openxmlformats.org/officeDocument/2006/relationships/hyperlink" Target="mailto:bowen.wang@powellind.com" TargetMode="External"/><Relationship Id="rId180" Type="http://schemas.openxmlformats.org/officeDocument/2006/relationships/hyperlink" Target="mailto:Andrew.Gumpp@wescodist.com" TargetMode="External"/><Relationship Id="rId215" Type="http://schemas.openxmlformats.org/officeDocument/2006/relationships/hyperlink" Target="mailto:bthibodaux@crawfordelectricsupply.com" TargetMode="External"/><Relationship Id="rId236" Type="http://schemas.openxmlformats.org/officeDocument/2006/relationships/hyperlink" Target="mailto:SBUFFIE@Ra.rockwell.com" TargetMode="External"/><Relationship Id="rId257" Type="http://schemas.openxmlformats.org/officeDocument/2006/relationships/hyperlink" Target="mailto:itsincbs@aol.com" TargetMode="External"/><Relationship Id="rId278" Type="http://schemas.openxmlformats.org/officeDocument/2006/relationships/hyperlink" Target="mailto:andrea@atiflow.com" TargetMode="External"/><Relationship Id="rId42" Type="http://schemas.openxmlformats.org/officeDocument/2006/relationships/hyperlink" Target="mailto:Stephane.StPierre@greenfield.com" TargetMode="External"/><Relationship Id="rId84" Type="http://schemas.openxmlformats.org/officeDocument/2006/relationships/hyperlink" Target="mailto:bthibodaux@crawfordelectricsupply.com" TargetMode="External"/><Relationship Id="rId138" Type="http://schemas.openxmlformats.org/officeDocument/2006/relationships/hyperlink" Target="mailto:kevin.vicario@mctn.co.id" TargetMode="External"/><Relationship Id="rId191" Type="http://schemas.openxmlformats.org/officeDocument/2006/relationships/hyperlink" Target="mailto:bthibodaux@crawfordelectricsupply.com" TargetMode="External"/><Relationship Id="rId205" Type="http://schemas.openxmlformats.org/officeDocument/2006/relationships/hyperlink" Target="mailto:faiz.mohamed@totalenergies.com" TargetMode="External"/><Relationship Id="rId247" Type="http://schemas.openxmlformats.org/officeDocument/2006/relationships/hyperlink" Target="mailto:andrea@atiflow.com" TargetMode="External"/><Relationship Id="rId107" Type="http://schemas.openxmlformats.org/officeDocument/2006/relationships/hyperlink" Target="mailto:CAROLYN.HARRIS@WESCODIST.COM" TargetMode="External"/><Relationship Id="rId289" Type="http://schemas.openxmlformats.org/officeDocument/2006/relationships/comments" Target="../comments2.xml"/><Relationship Id="rId11" Type="http://schemas.openxmlformats.org/officeDocument/2006/relationships/hyperlink" Target="mailto:elim@cainodessa.com" TargetMode="External"/><Relationship Id="rId53" Type="http://schemas.openxmlformats.org/officeDocument/2006/relationships/hyperlink" Target="mailto:bthibodaux@crawfordelectricsupply.com" TargetMode="External"/><Relationship Id="rId149" Type="http://schemas.openxmlformats.org/officeDocument/2006/relationships/hyperlink" Target="mailto:Andrew.Gumpp@wescodist.com" TargetMode="External"/><Relationship Id="rId95" Type="http://schemas.openxmlformats.org/officeDocument/2006/relationships/hyperlink" Target="mailto:dstamann@windemuller.us" TargetMode="External"/><Relationship Id="rId160" Type="http://schemas.openxmlformats.org/officeDocument/2006/relationships/hyperlink" Target="mailto:Brinton.Ratcliff@gexpro.com" TargetMode="External"/><Relationship Id="rId216" Type="http://schemas.openxmlformats.org/officeDocument/2006/relationships/hyperlink" Target="mailto:bthibodaux@crawfordelectricsupply.com" TargetMode="External"/><Relationship Id="rId258" Type="http://schemas.openxmlformats.org/officeDocument/2006/relationships/hyperlink" Target="mailto:itsincbs@aol.com" TargetMode="External"/><Relationship Id="rId22" Type="http://schemas.openxmlformats.org/officeDocument/2006/relationships/hyperlink" Target="mailto:iacamacho@reynco.com" TargetMode="External"/><Relationship Id="rId64" Type="http://schemas.openxmlformats.org/officeDocument/2006/relationships/hyperlink" Target="mailto:GOVERMAN@IRBY.COM" TargetMode="External"/><Relationship Id="rId118" Type="http://schemas.openxmlformats.org/officeDocument/2006/relationships/hyperlink" Target="mailto:itsincbs@aol.com" TargetMode="External"/><Relationship Id="rId171" Type="http://schemas.openxmlformats.org/officeDocument/2006/relationships/hyperlink" Target="mailto:bthibodaux@crawfordelectricsupply.com" TargetMode="External"/><Relationship Id="rId227" Type="http://schemas.openxmlformats.org/officeDocument/2006/relationships/hyperlink" Target="mailto:Andrew.Gumpp@wescodi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1:AGC201"/>
  <sheetViews>
    <sheetView tabSelected="1" zoomScale="85" zoomScaleNormal="70" workbookViewId="0">
      <pane ySplit="2" topLeftCell="A3" activePane="bottomLeft" state="frozen"/>
      <selection activeCell="E109" sqref="E109:E163"/>
      <selection pane="bottomLeft" activeCell="A33" sqref="A33:XFD35"/>
    </sheetView>
  </sheetViews>
  <sheetFormatPr defaultColWidth="8.7109375" defaultRowHeight="14.25" customHeight="1" x14ac:dyDescent="0.2"/>
  <cols>
    <col min="1" max="1" width="7.42578125" style="235" customWidth="1"/>
    <col min="2" max="2" width="13.42578125" style="144" customWidth="1"/>
    <col min="3" max="3" width="10" style="304" customWidth="1"/>
    <col min="4" max="4" width="12.5703125" style="304" customWidth="1"/>
    <col min="5" max="5" width="12.140625" style="304" customWidth="1"/>
    <col min="6" max="6" width="11.28515625" style="304" customWidth="1"/>
    <col min="7" max="7" width="11.85546875" style="304" customWidth="1"/>
    <col min="8" max="8" width="11.28515625" style="304" customWidth="1"/>
    <col min="9" max="9" width="2.28515625" style="211" customWidth="1"/>
    <col min="10" max="10" width="9.5703125" style="152" customWidth="1"/>
    <col min="11" max="11" width="9.28515625" style="144" customWidth="1"/>
    <col min="12" max="12" width="25.5703125" style="144" customWidth="1"/>
    <col min="13" max="13" width="11.140625" style="236" customWidth="1"/>
    <col min="14" max="14" width="16.5703125" style="208" customWidth="1"/>
    <col min="15" max="15" width="7.140625" style="144" customWidth="1"/>
    <col min="16" max="16" width="12.85546875" style="144" customWidth="1"/>
    <col min="17" max="17" width="9.140625" style="144" customWidth="1"/>
    <col min="18" max="18" width="6.5703125" style="152" customWidth="1"/>
    <col min="19" max="19" width="18.5703125" style="144" customWidth="1"/>
    <col min="20" max="20" width="32.5703125" style="144" customWidth="1"/>
    <col min="21" max="21" width="4.7109375" style="152" customWidth="1"/>
    <col min="22" max="22" width="9.42578125" style="152" customWidth="1"/>
    <col min="23" max="23" width="9.42578125" style="167" customWidth="1"/>
    <col min="24" max="24" width="8" style="152" customWidth="1"/>
    <col min="25" max="25" width="9" style="209" customWidth="1"/>
    <col min="26" max="26" width="24" style="209" customWidth="1"/>
    <col min="27" max="27" width="14.5703125" style="210" customWidth="1"/>
    <col min="28" max="28" width="11.5703125" style="237" customWidth="1"/>
    <col min="29" max="29" width="9.28515625" style="152" customWidth="1"/>
    <col min="30" max="30" width="14.85546875" style="152" customWidth="1"/>
    <col min="31" max="31" width="15.28515625" style="304" customWidth="1"/>
    <col min="32" max="32" width="12.42578125" style="304" customWidth="1"/>
    <col min="33" max="33" width="10.5703125" style="304" customWidth="1"/>
    <col min="34" max="34" width="12.28515625" style="304" customWidth="1"/>
    <col min="35" max="35" width="12.28515625" style="355" customWidth="1"/>
    <col min="36" max="36" width="36.140625" style="206" customWidth="1"/>
    <col min="37" max="37" width="8.7109375" style="144" bestFit="1" customWidth="1"/>
    <col min="38" max="38" width="13.85546875" style="246" bestFit="1" customWidth="1"/>
    <col min="39" max="40" width="9" style="290" customWidth="1"/>
    <col min="41" max="41" width="9" style="321" customWidth="1"/>
    <col min="42" max="42" width="8.7109375" style="321"/>
    <col min="43" max="16384" width="8.7109375" style="246"/>
  </cols>
  <sheetData>
    <row r="1" spans="1:860" ht="14.25" customHeight="1" x14ac:dyDescent="0.2">
      <c r="A1" s="145" t="s">
        <v>0</v>
      </c>
      <c r="B1" s="330"/>
      <c r="C1" s="310"/>
      <c r="D1" s="312" t="s">
        <v>1</v>
      </c>
      <c r="E1" s="313" t="s">
        <v>2</v>
      </c>
      <c r="F1" s="314" t="s">
        <v>1</v>
      </c>
      <c r="G1" s="315" t="s">
        <v>3</v>
      </c>
      <c r="H1" s="298"/>
      <c r="I1" s="146"/>
      <c r="J1" s="242" t="s">
        <v>1</v>
      </c>
      <c r="K1" s="274" t="s">
        <v>4</v>
      </c>
      <c r="L1" s="254" t="s">
        <v>5</v>
      </c>
      <c r="M1" s="147">
        <v>45526</v>
      </c>
      <c r="N1" s="286" t="s">
        <v>6</v>
      </c>
      <c r="O1" s="149"/>
      <c r="P1" s="183" t="s">
        <v>7</v>
      </c>
      <c r="Q1" s="336" t="s">
        <v>8</v>
      </c>
      <c r="R1" s="151"/>
      <c r="S1" s="337" t="s">
        <v>9</v>
      </c>
      <c r="W1" s="153"/>
      <c r="X1" s="263"/>
      <c r="Y1" s="154"/>
      <c r="Z1" s="154"/>
      <c r="AA1" s="155"/>
      <c r="AB1" s="156"/>
      <c r="AC1" s="153"/>
      <c r="AD1" s="151"/>
      <c r="AE1" s="297"/>
      <c r="AF1" s="298"/>
      <c r="AG1" s="298"/>
      <c r="AH1" s="297"/>
      <c r="AI1" s="178"/>
      <c r="AJ1" s="166"/>
      <c r="AK1" s="242"/>
    </row>
    <row r="2" spans="1:860" s="247" customFormat="1" ht="39.950000000000003" customHeight="1" x14ac:dyDescent="0.2">
      <c r="A2" s="145" t="s">
        <v>0</v>
      </c>
      <c r="B2" s="331" t="s">
        <v>10</v>
      </c>
      <c r="C2" s="311" t="s">
        <v>11</v>
      </c>
      <c r="D2" s="311" t="s">
        <v>12</v>
      </c>
      <c r="E2" s="311" t="s">
        <v>13</v>
      </c>
      <c r="F2" s="311" t="s">
        <v>14</v>
      </c>
      <c r="G2" s="311" t="s">
        <v>15</v>
      </c>
      <c r="H2" s="311" t="s">
        <v>16</v>
      </c>
      <c r="I2" s="157" t="s">
        <v>17</v>
      </c>
      <c r="J2" s="158" t="s">
        <v>18</v>
      </c>
      <c r="K2" s="158" t="s">
        <v>19</v>
      </c>
      <c r="L2" s="158" t="s">
        <v>20</v>
      </c>
      <c r="M2" s="159" t="s">
        <v>21</v>
      </c>
      <c r="N2" s="160" t="s">
        <v>22</v>
      </c>
      <c r="O2" s="158" t="s">
        <v>23</v>
      </c>
      <c r="P2" s="158" t="s">
        <v>24</v>
      </c>
      <c r="Q2" s="158" t="s">
        <v>25</v>
      </c>
      <c r="R2" s="158" t="s">
        <v>26</v>
      </c>
      <c r="S2" s="158" t="s">
        <v>27</v>
      </c>
      <c r="T2" s="257" t="s">
        <v>28</v>
      </c>
      <c r="U2" s="158" t="s">
        <v>29</v>
      </c>
      <c r="V2" s="158" t="s">
        <v>30</v>
      </c>
      <c r="W2" s="161" t="s">
        <v>31</v>
      </c>
      <c r="X2" s="161" t="s">
        <v>32</v>
      </c>
      <c r="Y2" s="162" t="s">
        <v>33</v>
      </c>
      <c r="Z2" s="162" t="s">
        <v>34</v>
      </c>
      <c r="AA2" s="163" t="s">
        <v>35</v>
      </c>
      <c r="AB2" s="164" t="s">
        <v>36</v>
      </c>
      <c r="AC2" s="165" t="s">
        <v>37</v>
      </c>
      <c r="AD2" s="257" t="s">
        <v>38</v>
      </c>
      <c r="AE2" s="299" t="s">
        <v>39</v>
      </c>
      <c r="AF2" s="299" t="s">
        <v>40</v>
      </c>
      <c r="AG2" s="299" t="s">
        <v>41</v>
      </c>
      <c r="AH2" s="299" t="s">
        <v>42</v>
      </c>
      <c r="AI2" s="352" t="s">
        <v>43</v>
      </c>
      <c r="AJ2" s="272" t="s">
        <v>44</v>
      </c>
      <c r="AK2" s="361" t="s">
        <v>45</v>
      </c>
      <c r="AL2" s="294" t="s">
        <v>46</v>
      </c>
      <c r="AM2" s="291" t="s">
        <v>47</v>
      </c>
      <c r="AN2" s="291" t="s">
        <v>48</v>
      </c>
      <c r="AO2" s="291" t="s">
        <v>49</v>
      </c>
      <c r="AP2" s="322" t="s">
        <v>50</v>
      </c>
    </row>
    <row r="3" spans="1:860" ht="14.25" customHeight="1" x14ac:dyDescent="0.2">
      <c r="A3" s="199">
        <v>3901</v>
      </c>
      <c r="B3" s="151"/>
      <c r="C3" s="298">
        <v>43832</v>
      </c>
      <c r="D3" s="298"/>
      <c r="E3" s="298"/>
      <c r="F3" s="298" t="s">
        <v>51</v>
      </c>
      <c r="G3" s="298" t="s">
        <v>51</v>
      </c>
      <c r="H3" s="298" t="s">
        <v>52</v>
      </c>
      <c r="I3" s="146"/>
      <c r="J3" s="151" t="s">
        <v>53</v>
      </c>
      <c r="K3" s="150" t="s">
        <v>54</v>
      </c>
      <c r="L3" s="150" t="s">
        <v>55</v>
      </c>
      <c r="M3" s="147" t="str">
        <f t="shared" ref="M3" si="0">_xlfn.IFNA(VLOOKUP(L3,TAX,2,FALSE), "NEED FORM")</f>
        <v>NEED FORM</v>
      </c>
      <c r="N3" s="148">
        <v>7042822785</v>
      </c>
      <c r="O3" s="151"/>
      <c r="P3" s="186" t="s">
        <v>56</v>
      </c>
      <c r="Q3" s="150" t="s">
        <v>57</v>
      </c>
      <c r="R3" s="151" t="s">
        <v>58</v>
      </c>
      <c r="S3" s="150" t="s">
        <v>59</v>
      </c>
      <c r="T3" s="174" t="s">
        <v>60</v>
      </c>
      <c r="U3" s="167"/>
      <c r="V3" s="167" t="s">
        <v>61</v>
      </c>
      <c r="X3" s="167"/>
      <c r="Y3" s="154">
        <v>2</v>
      </c>
      <c r="Z3" s="154">
        <v>2</v>
      </c>
      <c r="AA3" s="155"/>
      <c r="AB3" s="171">
        <f t="shared" ref="AB3" si="1">AA3*Y3+AC3</f>
        <v>0</v>
      </c>
      <c r="AC3" s="167"/>
      <c r="AD3" s="281"/>
      <c r="AE3" s="297"/>
      <c r="AF3" s="298"/>
      <c r="AG3" s="298"/>
      <c r="AH3" s="297"/>
      <c r="AI3" s="178"/>
      <c r="AJ3" s="166"/>
      <c r="AK3" s="144" t="s">
        <v>62</v>
      </c>
      <c r="AP3" s="321">
        <f t="shared" ref="AP3" si="2">_xlfn.ISOWEEKNUM(C3)</f>
        <v>1</v>
      </c>
    </row>
    <row r="4" spans="1:860" s="248" customFormat="1" ht="14.25" customHeight="1" x14ac:dyDescent="0.25">
      <c r="A4" s="367">
        <v>9699</v>
      </c>
      <c r="B4" s="167" t="s">
        <v>470</v>
      </c>
      <c r="C4" s="301">
        <v>45806</v>
      </c>
      <c r="D4" s="312" t="s">
        <v>447</v>
      </c>
      <c r="E4" s="316" t="s">
        <v>51</v>
      </c>
      <c r="F4" s="344" t="s">
        <v>469</v>
      </c>
      <c r="G4" s="316">
        <v>45817</v>
      </c>
      <c r="H4" s="304"/>
      <c r="I4" s="211"/>
      <c r="J4" s="152" t="s">
        <v>521</v>
      </c>
      <c r="K4" s="144" t="s">
        <v>522</v>
      </c>
      <c r="L4" s="144" t="s">
        <v>523</v>
      </c>
      <c r="M4" s="207" t="str">
        <f t="shared" ref="M4:M5" si="3">_xlfn.IFNA(VLOOKUP(L4,TAX,2,FALSE), "NEED FORM")</f>
        <v>NEED FORM</v>
      </c>
      <c r="N4" s="208">
        <v>5125936782</v>
      </c>
      <c r="O4" s="144"/>
      <c r="P4" s="21" t="s">
        <v>524</v>
      </c>
      <c r="Q4" s="144"/>
      <c r="R4" s="152"/>
      <c r="S4" s="144" t="s">
        <v>72</v>
      </c>
      <c r="T4" s="374" t="s">
        <v>525</v>
      </c>
      <c r="U4" s="152" t="s">
        <v>343</v>
      </c>
      <c r="V4" s="288" t="s">
        <v>61</v>
      </c>
      <c r="W4" s="288" t="s">
        <v>269</v>
      </c>
      <c r="X4" s="152"/>
      <c r="Y4" s="209">
        <v>90</v>
      </c>
      <c r="Z4" s="209">
        <v>90</v>
      </c>
      <c r="AA4" s="210"/>
      <c r="AB4" s="168">
        <f t="shared" ref="AB4:AB22" si="4">AA4*Y4+AC4</f>
        <v>0</v>
      </c>
      <c r="AC4" s="144"/>
      <c r="AD4" s="284"/>
      <c r="AE4" s="304"/>
      <c r="AF4" s="304"/>
      <c r="AG4" s="304"/>
      <c r="AH4" s="304"/>
      <c r="AI4" s="355"/>
      <c r="AJ4" s="206"/>
      <c r="AK4" s="144" t="s">
        <v>429</v>
      </c>
      <c r="AL4" s="246"/>
      <c r="AM4" s="290"/>
      <c r="AN4" s="290"/>
      <c r="AO4" s="321"/>
      <c r="AP4" s="321">
        <f t="shared" ref="AP4:AP28" si="5">_xlfn.ISOWEEKNUM(C4)</f>
        <v>22</v>
      </c>
    </row>
    <row r="5" spans="1:860" s="248" customFormat="1" ht="14.25" customHeight="1" x14ac:dyDescent="0.25">
      <c r="A5" s="367">
        <v>9700</v>
      </c>
      <c r="B5" s="167" t="s">
        <v>470</v>
      </c>
      <c r="C5" s="304">
        <v>45806</v>
      </c>
      <c r="D5" s="312" t="s">
        <v>1</v>
      </c>
      <c r="E5" s="313" t="s">
        <v>447</v>
      </c>
      <c r="F5" s="344"/>
      <c r="G5" s="372" t="s">
        <v>133</v>
      </c>
      <c r="H5" s="304"/>
      <c r="I5" s="211"/>
      <c r="J5" s="152" t="s">
        <v>488</v>
      </c>
      <c r="K5" s="144" t="s">
        <v>116</v>
      </c>
      <c r="L5" s="144" t="s">
        <v>526</v>
      </c>
      <c r="M5" s="207" t="str">
        <f t="shared" si="3"/>
        <v>NEED FORM</v>
      </c>
      <c r="N5" s="208">
        <v>5128046947</v>
      </c>
      <c r="O5" s="144"/>
      <c r="P5" s="21" t="s">
        <v>527</v>
      </c>
      <c r="Q5" s="144" t="s">
        <v>528</v>
      </c>
      <c r="R5" s="152" t="s">
        <v>144</v>
      </c>
      <c r="S5" s="144" t="s">
        <v>59</v>
      </c>
      <c r="T5" s="144" t="s">
        <v>529</v>
      </c>
      <c r="U5" s="152"/>
      <c r="V5" s="288" t="s">
        <v>61</v>
      </c>
      <c r="W5" s="288" t="s">
        <v>269</v>
      </c>
      <c r="X5" s="152"/>
      <c r="Y5" s="209">
        <v>20</v>
      </c>
      <c r="Z5" s="218" t="s">
        <v>530</v>
      </c>
      <c r="AA5" s="210"/>
      <c r="AB5" s="168">
        <f t="shared" si="4"/>
        <v>0</v>
      </c>
      <c r="AC5" s="144"/>
      <c r="AD5" s="284"/>
      <c r="AE5" s="304"/>
      <c r="AF5" s="304"/>
      <c r="AG5" s="304"/>
      <c r="AH5" s="304"/>
      <c r="AI5" s="355"/>
      <c r="AJ5" s="206"/>
      <c r="AK5" s="144" t="s">
        <v>62</v>
      </c>
      <c r="AL5" s="246"/>
      <c r="AM5" s="290"/>
      <c r="AN5" s="290"/>
      <c r="AO5" s="321"/>
      <c r="AP5" s="321">
        <f t="shared" si="5"/>
        <v>22</v>
      </c>
    </row>
    <row r="6" spans="1:860" ht="14.25" customHeight="1" x14ac:dyDescent="0.25">
      <c r="A6" s="367">
        <v>9701</v>
      </c>
      <c r="B6" s="167" t="s">
        <v>467</v>
      </c>
      <c r="C6" s="304">
        <v>45806</v>
      </c>
      <c r="D6" s="307">
        <v>45806</v>
      </c>
      <c r="E6" s="313">
        <v>45821</v>
      </c>
      <c r="F6" s="316">
        <v>45817</v>
      </c>
      <c r="G6" s="316">
        <v>45817</v>
      </c>
      <c r="H6" s="304">
        <v>45821</v>
      </c>
      <c r="J6" s="152" t="s">
        <v>277</v>
      </c>
      <c r="K6" s="144" t="s">
        <v>531</v>
      </c>
      <c r="L6" s="144" t="s">
        <v>532</v>
      </c>
      <c r="M6" s="207" t="str">
        <f t="shared" ref="M6:M28" si="6">_xlfn.IFNA(VLOOKUP(L6,TAX,2,FALSE), "NEED FORM")</f>
        <v>NEED FORM</v>
      </c>
      <c r="N6" s="208">
        <v>7045344823</v>
      </c>
      <c r="P6" s="21" t="s">
        <v>533</v>
      </c>
      <c r="Q6" s="144" t="s">
        <v>468</v>
      </c>
      <c r="R6" s="152" t="s">
        <v>58</v>
      </c>
      <c r="S6" s="144" t="s">
        <v>27</v>
      </c>
      <c r="T6" s="144" t="s">
        <v>534</v>
      </c>
      <c r="U6" s="152" t="s">
        <v>517</v>
      </c>
      <c r="V6" s="288" t="s">
        <v>61</v>
      </c>
      <c r="W6" s="288" t="s">
        <v>269</v>
      </c>
      <c r="Y6" s="209">
        <v>15</v>
      </c>
      <c r="Z6" s="218" t="s">
        <v>535</v>
      </c>
      <c r="AA6" s="210">
        <v>380.94</v>
      </c>
      <c r="AB6" s="168">
        <f t="shared" si="4"/>
        <v>6864.1</v>
      </c>
      <c r="AC6" s="144">
        <v>1150</v>
      </c>
      <c r="AD6" s="284"/>
      <c r="AK6" s="144" t="s">
        <v>483</v>
      </c>
      <c r="AP6" s="321">
        <f t="shared" si="5"/>
        <v>22</v>
      </c>
    </row>
    <row r="7" spans="1:860" ht="14.25" customHeight="1" x14ac:dyDescent="0.25">
      <c r="A7" s="367">
        <v>9702</v>
      </c>
      <c r="B7" s="167" t="s">
        <v>467</v>
      </c>
      <c r="C7" s="304">
        <v>45807</v>
      </c>
      <c r="D7" s="316" t="s">
        <v>51</v>
      </c>
      <c r="E7" s="313">
        <v>45811</v>
      </c>
      <c r="F7" s="316" t="s">
        <v>51</v>
      </c>
      <c r="G7" s="316" t="s">
        <v>51</v>
      </c>
      <c r="H7" s="298">
        <v>45813</v>
      </c>
      <c r="I7" s="146"/>
      <c r="J7" s="151" t="s">
        <v>153</v>
      </c>
      <c r="K7" s="150" t="s">
        <v>365</v>
      </c>
      <c r="L7" s="150" t="s">
        <v>237</v>
      </c>
      <c r="M7" s="147">
        <f t="shared" si="6"/>
        <v>45054</v>
      </c>
      <c r="N7" s="148">
        <v>8604305176</v>
      </c>
      <c r="O7" s="151"/>
      <c r="P7" s="35" t="s">
        <v>226</v>
      </c>
      <c r="Q7" s="150" t="s">
        <v>157</v>
      </c>
      <c r="R7" s="151" t="s">
        <v>158</v>
      </c>
      <c r="S7" s="150" t="s">
        <v>59</v>
      </c>
      <c r="T7" s="174" t="s">
        <v>359</v>
      </c>
      <c r="U7" s="167"/>
      <c r="V7" s="167" t="s">
        <v>67</v>
      </c>
      <c r="W7" s="167">
        <v>5556</v>
      </c>
      <c r="X7" s="167"/>
      <c r="Y7" s="169">
        <v>2</v>
      </c>
      <c r="Z7" s="201">
        <v>2</v>
      </c>
      <c r="AA7" s="170">
        <v>182.75</v>
      </c>
      <c r="AB7" s="171">
        <f t="shared" si="4"/>
        <v>365.5</v>
      </c>
      <c r="AC7" s="167"/>
      <c r="AD7" s="281"/>
      <c r="AE7" s="297"/>
      <c r="AF7" s="298"/>
      <c r="AG7" s="298"/>
      <c r="AH7" s="297"/>
      <c r="AI7" s="178"/>
      <c r="AJ7" s="166"/>
      <c r="AK7" s="144" t="s">
        <v>62</v>
      </c>
      <c r="AP7" s="321">
        <f t="shared" si="5"/>
        <v>22</v>
      </c>
    </row>
    <row r="8" spans="1:860" ht="14.25" customHeight="1" x14ac:dyDescent="0.2">
      <c r="A8" s="367">
        <v>9703</v>
      </c>
      <c r="B8" s="183" t="s">
        <v>470</v>
      </c>
      <c r="C8" s="300">
        <v>45807</v>
      </c>
      <c r="D8" s="312" t="s">
        <v>1</v>
      </c>
      <c r="E8" s="313" t="s">
        <v>447</v>
      </c>
      <c r="F8" s="344" t="s">
        <v>173</v>
      </c>
      <c r="G8" s="372" t="s">
        <v>133</v>
      </c>
      <c r="H8" s="300"/>
      <c r="I8" s="191"/>
      <c r="J8" s="20" t="s">
        <v>137</v>
      </c>
      <c r="K8" s="193" t="s">
        <v>347</v>
      </c>
      <c r="L8" s="193" t="s">
        <v>348</v>
      </c>
      <c r="M8" s="194" t="str">
        <f t="shared" si="6"/>
        <v>NEED FORM</v>
      </c>
      <c r="N8" s="195">
        <v>8648438303</v>
      </c>
      <c r="O8" s="20"/>
      <c r="P8" s="196" t="s">
        <v>349</v>
      </c>
      <c r="Q8" s="193"/>
      <c r="R8" s="20"/>
      <c r="S8" s="193" t="s">
        <v>383</v>
      </c>
      <c r="T8" s="181" t="s">
        <v>350</v>
      </c>
      <c r="U8" s="20"/>
      <c r="V8" s="20" t="s">
        <v>61</v>
      </c>
      <c r="W8" s="20" t="s">
        <v>351</v>
      </c>
      <c r="X8" s="20"/>
      <c r="Y8" s="184">
        <v>12</v>
      </c>
      <c r="Z8" s="190" t="s">
        <v>536</v>
      </c>
      <c r="AA8" s="185"/>
      <c r="AB8" s="182">
        <f t="shared" si="4"/>
        <v>0</v>
      </c>
      <c r="AC8" s="20"/>
      <c r="AD8" s="347"/>
      <c r="AE8" s="300"/>
      <c r="AF8" s="300"/>
      <c r="AG8" s="300"/>
      <c r="AH8" s="300"/>
      <c r="AI8" s="220"/>
      <c r="AJ8" s="193"/>
      <c r="AK8" s="144" t="s">
        <v>62</v>
      </c>
      <c r="AL8" s="248"/>
      <c r="AM8" s="292"/>
      <c r="AN8" s="292"/>
      <c r="AO8" s="323"/>
      <c r="AP8" s="321">
        <f t="shared" si="5"/>
        <v>22</v>
      </c>
    </row>
    <row r="9" spans="1:860" ht="14.25" customHeight="1" x14ac:dyDescent="0.25">
      <c r="A9" s="367">
        <v>9704</v>
      </c>
      <c r="B9" s="183" t="s">
        <v>63</v>
      </c>
      <c r="C9" s="301">
        <v>45807</v>
      </c>
      <c r="D9" s="301" t="s">
        <v>51</v>
      </c>
      <c r="E9" s="301">
        <v>45012</v>
      </c>
      <c r="F9" s="302" t="s">
        <v>51</v>
      </c>
      <c r="G9" s="302">
        <v>45012</v>
      </c>
      <c r="H9" s="296">
        <v>45807</v>
      </c>
      <c r="I9" s="189"/>
      <c r="J9" s="183" t="s">
        <v>203</v>
      </c>
      <c r="K9" s="175" t="s">
        <v>176</v>
      </c>
      <c r="L9" s="175" t="s">
        <v>298</v>
      </c>
      <c r="M9" s="177">
        <f t="shared" si="6"/>
        <v>45294</v>
      </c>
      <c r="N9" s="179">
        <v>7047070122</v>
      </c>
      <c r="O9" s="183"/>
      <c r="P9" s="19" t="s">
        <v>357</v>
      </c>
      <c r="Q9" s="175" t="s">
        <v>162</v>
      </c>
      <c r="R9" s="183" t="s">
        <v>58</v>
      </c>
      <c r="S9" s="175" t="s">
        <v>356</v>
      </c>
      <c r="T9" s="181" t="s">
        <v>510</v>
      </c>
      <c r="U9" s="20"/>
      <c r="V9" s="20" t="s">
        <v>67</v>
      </c>
      <c r="W9" s="20" t="s">
        <v>299</v>
      </c>
      <c r="X9" s="20"/>
      <c r="Y9" s="184">
        <v>10</v>
      </c>
      <c r="Z9" s="184">
        <v>10</v>
      </c>
      <c r="AA9" s="185">
        <v>52.86</v>
      </c>
      <c r="AB9" s="182">
        <f t="shared" si="4"/>
        <v>528.6</v>
      </c>
      <c r="AC9" s="20"/>
      <c r="AD9" s="283" t="s">
        <v>537</v>
      </c>
      <c r="AE9" s="300">
        <v>45807</v>
      </c>
      <c r="AF9" s="296">
        <v>45807</v>
      </c>
      <c r="AG9" s="296">
        <v>45821</v>
      </c>
      <c r="AH9" s="296">
        <v>45822</v>
      </c>
      <c r="AI9" s="353"/>
      <c r="AJ9" s="121"/>
      <c r="AK9" s="144" t="s">
        <v>62</v>
      </c>
      <c r="AP9" s="321">
        <f t="shared" si="5"/>
        <v>22</v>
      </c>
    </row>
    <row r="10" spans="1:860" s="248" customFormat="1" ht="14.25" customHeight="1" x14ac:dyDescent="0.25">
      <c r="A10" s="367">
        <v>9705</v>
      </c>
      <c r="B10" s="151" t="s">
        <v>5</v>
      </c>
      <c r="C10" s="301">
        <v>45784</v>
      </c>
      <c r="D10" s="305">
        <v>45784</v>
      </c>
      <c r="E10" s="305" t="s">
        <v>51</v>
      </c>
      <c r="F10" s="305" t="s">
        <v>51</v>
      </c>
      <c r="G10" s="305">
        <v>45789</v>
      </c>
      <c r="H10" s="297">
        <v>45799</v>
      </c>
      <c r="I10" s="172"/>
      <c r="J10" s="167" t="s">
        <v>387</v>
      </c>
      <c r="K10" s="143" t="s">
        <v>282</v>
      </c>
      <c r="L10" s="143" t="s">
        <v>198</v>
      </c>
      <c r="M10" s="173">
        <f t="shared" si="6"/>
        <v>45002</v>
      </c>
      <c r="N10" s="176">
        <v>7045251749</v>
      </c>
      <c r="O10" s="167"/>
      <c r="P10" s="21" t="s">
        <v>353</v>
      </c>
      <c r="Q10" s="143" t="s">
        <v>64</v>
      </c>
      <c r="R10" s="167" t="s">
        <v>58</v>
      </c>
      <c r="S10" s="143" t="s">
        <v>341</v>
      </c>
      <c r="T10" s="174" t="s">
        <v>511</v>
      </c>
      <c r="U10" s="167"/>
      <c r="V10" s="167" t="s">
        <v>61</v>
      </c>
      <c r="W10" s="167" t="s">
        <v>269</v>
      </c>
      <c r="X10" s="167"/>
      <c r="Y10" s="154">
        <v>42</v>
      </c>
      <c r="Z10" s="154">
        <v>42</v>
      </c>
      <c r="AA10" s="155">
        <v>15.74</v>
      </c>
      <c r="AB10" s="168">
        <f t="shared" si="4"/>
        <v>811.08</v>
      </c>
      <c r="AC10" s="167">
        <v>150</v>
      </c>
      <c r="AD10" s="346"/>
      <c r="AE10" s="297"/>
      <c r="AF10" s="297"/>
      <c r="AG10" s="297"/>
      <c r="AH10" s="297"/>
      <c r="AI10" s="178"/>
      <c r="AJ10" s="143" t="s">
        <v>538</v>
      </c>
      <c r="AK10" s="144" t="s">
        <v>62</v>
      </c>
      <c r="AL10" s="246"/>
      <c r="AM10" s="290"/>
      <c r="AN10" s="290"/>
      <c r="AO10" s="321"/>
      <c r="AP10" s="321">
        <f t="shared" si="5"/>
        <v>19</v>
      </c>
    </row>
    <row r="11" spans="1:860" ht="14.25" customHeight="1" x14ac:dyDescent="0.25">
      <c r="A11" s="367">
        <v>9706</v>
      </c>
      <c r="B11" s="151" t="s">
        <v>5</v>
      </c>
      <c r="C11" s="301">
        <v>45784</v>
      </c>
      <c r="D11" s="305">
        <v>45784</v>
      </c>
      <c r="E11" s="305" t="s">
        <v>51</v>
      </c>
      <c r="F11" s="305" t="s">
        <v>51</v>
      </c>
      <c r="G11" s="305">
        <v>45789</v>
      </c>
      <c r="H11" s="297">
        <v>45799</v>
      </c>
      <c r="I11" s="172"/>
      <c r="J11" s="167" t="s">
        <v>387</v>
      </c>
      <c r="K11" s="143" t="s">
        <v>282</v>
      </c>
      <c r="L11" s="143" t="s">
        <v>198</v>
      </c>
      <c r="M11" s="173">
        <f t="shared" si="6"/>
        <v>45002</v>
      </c>
      <c r="N11" s="176">
        <v>7045251749</v>
      </c>
      <c r="O11" s="167"/>
      <c r="P11" s="21" t="s">
        <v>353</v>
      </c>
      <c r="Q11" s="143" t="s">
        <v>64</v>
      </c>
      <c r="R11" s="167" t="s">
        <v>58</v>
      </c>
      <c r="S11" s="143" t="s">
        <v>341</v>
      </c>
      <c r="T11" s="174" t="s">
        <v>512</v>
      </c>
      <c r="U11" s="167"/>
      <c r="V11" s="167" t="s">
        <v>61</v>
      </c>
      <c r="W11" s="167" t="s">
        <v>269</v>
      </c>
      <c r="X11" s="167"/>
      <c r="Y11" s="154">
        <v>36</v>
      </c>
      <c r="Z11" s="154">
        <v>36</v>
      </c>
      <c r="AA11" s="155">
        <v>16.48</v>
      </c>
      <c r="AB11" s="168">
        <f t="shared" si="4"/>
        <v>743.28</v>
      </c>
      <c r="AC11" s="167">
        <v>150</v>
      </c>
      <c r="AD11" s="346"/>
      <c r="AE11" s="297"/>
      <c r="AF11" s="297"/>
      <c r="AG11" s="297"/>
      <c r="AH11" s="297"/>
      <c r="AI11" s="178"/>
      <c r="AJ11" s="143"/>
      <c r="AK11" s="144" t="s">
        <v>62</v>
      </c>
      <c r="AP11" s="321">
        <f t="shared" si="5"/>
        <v>19</v>
      </c>
    </row>
    <row r="12" spans="1:860" s="252" customFormat="1" ht="14.25" customHeight="1" x14ac:dyDescent="0.25">
      <c r="A12" s="367">
        <v>9707</v>
      </c>
      <c r="B12" s="151" t="s">
        <v>5</v>
      </c>
      <c r="C12" s="301">
        <v>45784</v>
      </c>
      <c r="D12" s="305">
        <v>45784</v>
      </c>
      <c r="E12" s="305" t="s">
        <v>51</v>
      </c>
      <c r="F12" s="305" t="s">
        <v>51</v>
      </c>
      <c r="G12" s="305">
        <v>45789</v>
      </c>
      <c r="H12" s="297">
        <v>45799</v>
      </c>
      <c r="I12" s="172"/>
      <c r="J12" s="167" t="s">
        <v>387</v>
      </c>
      <c r="K12" s="143" t="s">
        <v>282</v>
      </c>
      <c r="L12" s="143" t="s">
        <v>198</v>
      </c>
      <c r="M12" s="173">
        <f t="shared" si="6"/>
        <v>45002</v>
      </c>
      <c r="N12" s="176">
        <v>7045251749</v>
      </c>
      <c r="O12" s="167"/>
      <c r="P12" s="21" t="s">
        <v>353</v>
      </c>
      <c r="Q12" s="143" t="s">
        <v>64</v>
      </c>
      <c r="R12" s="167" t="s">
        <v>58</v>
      </c>
      <c r="S12" s="143" t="s">
        <v>341</v>
      </c>
      <c r="T12" s="174" t="s">
        <v>513</v>
      </c>
      <c r="U12" s="167"/>
      <c r="V12" s="167" t="s">
        <v>61</v>
      </c>
      <c r="W12" s="167" t="s">
        <v>269</v>
      </c>
      <c r="X12" s="167"/>
      <c r="Y12" s="154">
        <v>24</v>
      </c>
      <c r="Z12" s="154">
        <v>24</v>
      </c>
      <c r="AA12" s="155">
        <v>15.49</v>
      </c>
      <c r="AB12" s="168">
        <f t="shared" si="4"/>
        <v>521.76</v>
      </c>
      <c r="AC12" s="167">
        <v>150</v>
      </c>
      <c r="AD12" s="346"/>
      <c r="AE12" s="297"/>
      <c r="AF12" s="297"/>
      <c r="AG12" s="297"/>
      <c r="AH12" s="297"/>
      <c r="AI12" s="178"/>
      <c r="AJ12" s="143"/>
      <c r="AK12" s="144" t="s">
        <v>62</v>
      </c>
      <c r="AL12" s="246"/>
      <c r="AM12" s="290"/>
      <c r="AN12" s="290"/>
      <c r="AO12" s="321"/>
      <c r="AP12" s="321">
        <f t="shared" si="5"/>
        <v>19</v>
      </c>
      <c r="AQ12" s="246"/>
      <c r="AR12" s="246"/>
      <c r="AS12" s="246"/>
      <c r="AT12" s="246"/>
      <c r="AU12" s="246"/>
      <c r="AV12" s="246"/>
      <c r="AW12" s="246"/>
      <c r="AX12" s="246"/>
      <c r="AY12" s="246"/>
      <c r="AZ12" s="246"/>
      <c r="BA12" s="246"/>
      <c r="BB12" s="246"/>
      <c r="BC12" s="246"/>
      <c r="BD12" s="246"/>
      <c r="BE12" s="246"/>
      <c r="BF12" s="246"/>
      <c r="BG12" s="246"/>
      <c r="BH12" s="246"/>
      <c r="BI12" s="246"/>
      <c r="BJ12" s="246"/>
      <c r="BK12" s="246"/>
      <c r="BL12" s="246"/>
      <c r="BM12" s="246"/>
      <c r="BN12" s="246"/>
      <c r="BO12" s="246"/>
      <c r="BP12" s="246"/>
      <c r="BQ12" s="246"/>
      <c r="BR12" s="246"/>
      <c r="BS12" s="246"/>
      <c r="BT12" s="246"/>
      <c r="BU12" s="246"/>
      <c r="BV12" s="246"/>
      <c r="BW12" s="246"/>
      <c r="BX12" s="246"/>
      <c r="BY12" s="246"/>
      <c r="BZ12" s="246"/>
      <c r="CA12" s="246"/>
      <c r="CB12" s="246"/>
      <c r="CC12" s="246"/>
      <c r="CD12" s="246"/>
      <c r="CE12" s="246"/>
      <c r="CF12" s="246"/>
      <c r="CG12" s="246"/>
      <c r="CH12" s="246"/>
      <c r="CI12" s="246"/>
      <c r="CJ12" s="246"/>
      <c r="CK12" s="246"/>
      <c r="CL12" s="246"/>
      <c r="CM12" s="246"/>
      <c r="CN12" s="246"/>
      <c r="CO12" s="246"/>
      <c r="CP12" s="246"/>
      <c r="CQ12" s="246"/>
      <c r="CR12" s="246"/>
      <c r="CS12" s="246"/>
      <c r="CT12" s="246"/>
      <c r="CU12" s="246"/>
      <c r="CV12" s="246"/>
      <c r="CW12" s="246"/>
      <c r="CX12" s="246"/>
      <c r="CY12" s="246"/>
      <c r="CZ12" s="246"/>
      <c r="DA12" s="246"/>
      <c r="DB12" s="246"/>
      <c r="DC12" s="246"/>
      <c r="DD12" s="246"/>
      <c r="DE12" s="246"/>
      <c r="DF12" s="246"/>
      <c r="DG12" s="246"/>
      <c r="DH12" s="246"/>
      <c r="DI12" s="246"/>
      <c r="DJ12" s="246"/>
      <c r="DK12" s="246"/>
      <c r="DL12" s="246"/>
      <c r="DM12" s="246"/>
      <c r="DN12" s="246"/>
      <c r="DO12" s="246"/>
      <c r="DP12" s="246"/>
      <c r="DQ12" s="246"/>
      <c r="DR12" s="246"/>
      <c r="DS12" s="246"/>
      <c r="DT12" s="246"/>
      <c r="DU12" s="246"/>
      <c r="DV12" s="246"/>
      <c r="DW12" s="246"/>
      <c r="DX12" s="246"/>
      <c r="DY12" s="246"/>
      <c r="DZ12" s="246"/>
      <c r="EA12" s="246"/>
      <c r="EB12" s="246"/>
      <c r="EC12" s="246"/>
      <c r="ED12" s="246"/>
      <c r="EE12" s="246"/>
      <c r="EF12" s="246"/>
      <c r="EG12" s="246"/>
      <c r="EH12" s="246"/>
      <c r="EI12" s="246"/>
      <c r="EJ12" s="246"/>
      <c r="EK12" s="246"/>
      <c r="EL12" s="246"/>
      <c r="EM12" s="246"/>
      <c r="EN12" s="246"/>
      <c r="EO12" s="246"/>
      <c r="EP12" s="246"/>
      <c r="EQ12" s="246"/>
      <c r="ER12" s="246"/>
      <c r="ES12" s="246"/>
      <c r="ET12" s="246"/>
      <c r="EU12" s="246"/>
      <c r="EV12" s="246"/>
      <c r="EW12" s="246"/>
      <c r="EX12" s="246"/>
      <c r="EY12" s="246"/>
      <c r="EZ12" s="246"/>
      <c r="FA12" s="246"/>
      <c r="FB12" s="246"/>
      <c r="FC12" s="246"/>
      <c r="FD12" s="246"/>
      <c r="FE12" s="246"/>
      <c r="FF12" s="246"/>
      <c r="FG12" s="246"/>
      <c r="FH12" s="246"/>
      <c r="FI12" s="246"/>
      <c r="FJ12" s="246"/>
      <c r="FK12" s="246"/>
      <c r="FL12" s="246"/>
      <c r="FM12" s="246"/>
      <c r="FN12" s="246"/>
      <c r="FO12" s="246"/>
      <c r="FP12" s="246"/>
      <c r="FQ12" s="246"/>
      <c r="FR12" s="246"/>
      <c r="FS12" s="246"/>
      <c r="FT12" s="246"/>
      <c r="FU12" s="246"/>
      <c r="FV12" s="246"/>
      <c r="FW12" s="246"/>
      <c r="FX12" s="246"/>
      <c r="FY12" s="246"/>
      <c r="FZ12" s="246"/>
      <c r="GA12" s="246"/>
      <c r="GB12" s="246"/>
      <c r="GC12" s="246"/>
      <c r="GD12" s="246"/>
      <c r="GE12" s="246"/>
      <c r="GF12" s="246"/>
      <c r="GG12" s="246"/>
      <c r="GH12" s="246"/>
      <c r="GI12" s="246"/>
      <c r="GJ12" s="246"/>
      <c r="GK12" s="246"/>
      <c r="GL12" s="246"/>
      <c r="GM12" s="246"/>
      <c r="GN12" s="246"/>
      <c r="GO12" s="246"/>
      <c r="GP12" s="246"/>
      <c r="GQ12" s="246"/>
      <c r="GR12" s="246"/>
      <c r="GS12" s="246"/>
      <c r="GT12" s="246"/>
      <c r="GU12" s="246"/>
      <c r="GV12" s="246"/>
      <c r="GW12" s="246"/>
      <c r="GX12" s="246"/>
      <c r="GY12" s="246"/>
      <c r="GZ12" s="246"/>
      <c r="HA12" s="246"/>
      <c r="HB12" s="246"/>
      <c r="HC12" s="246"/>
      <c r="HD12" s="246"/>
      <c r="HE12" s="246"/>
      <c r="HF12" s="246"/>
      <c r="HG12" s="246"/>
      <c r="HH12" s="246"/>
      <c r="HI12" s="246"/>
      <c r="HJ12" s="246"/>
      <c r="HK12" s="246"/>
      <c r="HL12" s="246"/>
      <c r="HM12" s="246"/>
      <c r="HN12" s="246"/>
      <c r="HO12" s="246"/>
      <c r="HP12" s="246"/>
      <c r="HQ12" s="246"/>
      <c r="HR12" s="246"/>
      <c r="HS12" s="246"/>
      <c r="HT12" s="246"/>
      <c r="HU12" s="246"/>
      <c r="HV12" s="246"/>
      <c r="HW12" s="246"/>
      <c r="HX12" s="246"/>
      <c r="HY12" s="246"/>
      <c r="HZ12" s="246"/>
      <c r="IA12" s="246"/>
      <c r="IB12" s="246"/>
      <c r="IC12" s="246"/>
      <c r="ID12" s="246"/>
      <c r="IE12" s="246"/>
      <c r="IF12" s="246"/>
      <c r="IG12" s="246"/>
      <c r="IH12" s="246"/>
      <c r="II12" s="246"/>
      <c r="IJ12" s="246"/>
      <c r="IK12" s="246"/>
      <c r="IL12" s="246"/>
      <c r="IM12" s="246"/>
      <c r="IN12" s="246"/>
      <c r="IO12" s="246"/>
      <c r="IP12" s="246"/>
      <c r="IQ12" s="246"/>
      <c r="IR12" s="246"/>
      <c r="IS12" s="246"/>
      <c r="IT12" s="246"/>
      <c r="IU12" s="246"/>
      <c r="IV12" s="246"/>
      <c r="IW12" s="246"/>
      <c r="IX12" s="246"/>
      <c r="IY12" s="246"/>
      <c r="IZ12" s="246"/>
      <c r="JA12" s="246"/>
      <c r="JB12" s="246"/>
      <c r="JC12" s="246"/>
      <c r="JD12" s="246"/>
      <c r="JE12" s="246"/>
      <c r="JF12" s="246"/>
      <c r="JG12" s="246"/>
      <c r="JH12" s="246"/>
      <c r="JI12" s="246"/>
      <c r="JJ12" s="246"/>
      <c r="JK12" s="246"/>
      <c r="JL12" s="246"/>
      <c r="JM12" s="246"/>
      <c r="JN12" s="246"/>
      <c r="JO12" s="246"/>
      <c r="JP12" s="246"/>
      <c r="JQ12" s="246"/>
      <c r="JR12" s="246"/>
      <c r="JS12" s="246"/>
      <c r="JT12" s="246"/>
      <c r="JU12" s="246"/>
      <c r="JV12" s="246"/>
      <c r="JW12" s="246"/>
      <c r="JX12" s="246"/>
      <c r="JY12" s="246"/>
      <c r="JZ12" s="246"/>
      <c r="KA12" s="246"/>
      <c r="KB12" s="246"/>
      <c r="KC12" s="246"/>
      <c r="KD12" s="246"/>
      <c r="KE12" s="246"/>
      <c r="KF12" s="246"/>
      <c r="KG12" s="246"/>
      <c r="KH12" s="246"/>
      <c r="KI12" s="246"/>
      <c r="KJ12" s="246"/>
      <c r="KK12" s="246"/>
      <c r="KL12" s="246"/>
      <c r="KM12" s="246"/>
      <c r="KN12" s="246"/>
      <c r="KO12" s="246"/>
      <c r="KP12" s="246"/>
      <c r="KQ12" s="246"/>
      <c r="KR12" s="246"/>
      <c r="KS12" s="246"/>
      <c r="KT12" s="246"/>
      <c r="KU12" s="246"/>
      <c r="KV12" s="246"/>
      <c r="KW12" s="246"/>
      <c r="KX12" s="246"/>
      <c r="KY12" s="246"/>
      <c r="KZ12" s="246"/>
      <c r="LA12" s="246"/>
      <c r="LB12" s="246"/>
      <c r="LC12" s="246"/>
      <c r="LD12" s="246"/>
      <c r="LE12" s="246"/>
      <c r="LF12" s="246"/>
      <c r="LG12" s="246"/>
      <c r="LH12" s="246"/>
      <c r="LI12" s="246"/>
      <c r="LJ12" s="246"/>
      <c r="LK12" s="246"/>
      <c r="LL12" s="246"/>
      <c r="LM12" s="246"/>
      <c r="LN12" s="246"/>
      <c r="LO12" s="246"/>
      <c r="LP12" s="246"/>
      <c r="LQ12" s="246"/>
      <c r="LR12" s="246"/>
      <c r="LS12" s="246"/>
      <c r="LT12" s="246"/>
      <c r="LU12" s="246"/>
      <c r="LV12" s="246"/>
      <c r="LW12" s="246"/>
      <c r="LX12" s="246"/>
      <c r="LY12" s="246"/>
      <c r="LZ12" s="246"/>
      <c r="MA12" s="246"/>
      <c r="MB12" s="246"/>
      <c r="MC12" s="246"/>
      <c r="MD12" s="246"/>
      <c r="ME12" s="246"/>
      <c r="MF12" s="246"/>
      <c r="MG12" s="246"/>
      <c r="MH12" s="246"/>
      <c r="MI12" s="246"/>
      <c r="MJ12" s="246"/>
      <c r="MK12" s="246"/>
      <c r="ML12" s="246"/>
      <c r="MM12" s="246"/>
      <c r="MN12" s="246"/>
      <c r="MO12" s="246"/>
      <c r="MP12" s="246"/>
      <c r="MQ12" s="246"/>
      <c r="MR12" s="246"/>
      <c r="MS12" s="246"/>
      <c r="MT12" s="246"/>
      <c r="MU12" s="246"/>
      <c r="MV12" s="246"/>
      <c r="MW12" s="246"/>
      <c r="MX12" s="246"/>
      <c r="MY12" s="246"/>
      <c r="MZ12" s="246"/>
      <c r="NA12" s="246"/>
      <c r="NB12" s="246"/>
      <c r="NC12" s="246"/>
      <c r="ND12" s="246"/>
      <c r="NE12" s="246"/>
      <c r="NF12" s="246"/>
      <c r="NG12" s="246"/>
      <c r="NH12" s="246"/>
      <c r="NI12" s="246"/>
      <c r="NJ12" s="246"/>
      <c r="NK12" s="246"/>
      <c r="NL12" s="246"/>
      <c r="NM12" s="246"/>
      <c r="NN12" s="246"/>
      <c r="NO12" s="246"/>
      <c r="NP12" s="246"/>
      <c r="NQ12" s="246"/>
      <c r="NR12" s="246"/>
      <c r="NS12" s="246"/>
      <c r="NT12" s="246"/>
      <c r="NU12" s="246"/>
      <c r="NV12" s="246"/>
      <c r="NW12" s="246"/>
      <c r="NX12" s="246"/>
      <c r="NY12" s="246"/>
      <c r="NZ12" s="246"/>
      <c r="OA12" s="246"/>
      <c r="OB12" s="246"/>
      <c r="OC12" s="246"/>
      <c r="OD12" s="246"/>
      <c r="OE12" s="246"/>
      <c r="OF12" s="246"/>
      <c r="OG12" s="246"/>
      <c r="OH12" s="246"/>
      <c r="OI12" s="246"/>
      <c r="OJ12" s="246"/>
      <c r="OK12" s="246"/>
      <c r="OL12" s="246"/>
      <c r="OM12" s="246"/>
      <c r="ON12" s="246"/>
      <c r="OO12" s="246"/>
      <c r="OP12" s="246"/>
      <c r="OQ12" s="246"/>
      <c r="OR12" s="246"/>
      <c r="OS12" s="246"/>
      <c r="OT12" s="246"/>
      <c r="OU12" s="246"/>
      <c r="OV12" s="246"/>
      <c r="OW12" s="246"/>
      <c r="OX12" s="246"/>
      <c r="OY12" s="246"/>
      <c r="OZ12" s="246"/>
      <c r="PA12" s="246"/>
      <c r="PB12" s="246"/>
      <c r="PC12" s="246"/>
      <c r="PD12" s="246"/>
      <c r="PE12" s="246"/>
      <c r="PF12" s="246"/>
      <c r="PG12" s="246"/>
      <c r="PH12" s="246"/>
      <c r="PI12" s="246"/>
      <c r="PJ12" s="246"/>
      <c r="PK12" s="246"/>
      <c r="PL12" s="246"/>
      <c r="PM12" s="246"/>
      <c r="PN12" s="246"/>
      <c r="PO12" s="246"/>
      <c r="PP12" s="246"/>
      <c r="PQ12" s="246"/>
      <c r="PR12" s="246"/>
      <c r="PS12" s="246"/>
      <c r="PT12" s="246"/>
      <c r="PU12" s="246"/>
      <c r="PV12" s="246"/>
      <c r="PW12" s="246"/>
      <c r="PX12" s="246"/>
      <c r="PY12" s="246"/>
      <c r="PZ12" s="246"/>
      <c r="QA12" s="246"/>
      <c r="QB12" s="246"/>
      <c r="QC12" s="246"/>
      <c r="QD12" s="246"/>
      <c r="QE12" s="246"/>
      <c r="QF12" s="246"/>
      <c r="QG12" s="246"/>
      <c r="QH12" s="246"/>
      <c r="QI12" s="246"/>
      <c r="QJ12" s="246"/>
      <c r="QK12" s="246"/>
      <c r="QL12" s="246"/>
      <c r="QM12" s="246"/>
      <c r="QN12" s="246"/>
      <c r="QO12" s="246"/>
      <c r="QP12" s="246"/>
      <c r="QQ12" s="246"/>
      <c r="QR12" s="246"/>
      <c r="QS12" s="246"/>
      <c r="QT12" s="246"/>
      <c r="QU12" s="246"/>
      <c r="QV12" s="246"/>
      <c r="QW12" s="246"/>
      <c r="QX12" s="246"/>
      <c r="QY12" s="246"/>
      <c r="QZ12" s="246"/>
      <c r="RA12" s="246"/>
      <c r="RB12" s="246"/>
      <c r="RC12" s="246"/>
      <c r="RD12" s="246"/>
      <c r="RE12" s="246"/>
      <c r="RF12" s="246"/>
      <c r="RG12" s="246"/>
      <c r="RH12" s="246"/>
      <c r="RI12" s="246"/>
      <c r="RJ12" s="246"/>
      <c r="RK12" s="246"/>
      <c r="RL12" s="246"/>
      <c r="RM12" s="246"/>
      <c r="RN12" s="246"/>
      <c r="RO12" s="246"/>
      <c r="RP12" s="246"/>
      <c r="RQ12" s="246"/>
      <c r="RR12" s="246"/>
      <c r="RS12" s="246"/>
      <c r="RT12" s="246"/>
      <c r="RU12" s="246"/>
      <c r="RV12" s="246"/>
      <c r="RW12" s="246"/>
      <c r="RX12" s="246"/>
      <c r="RY12" s="246"/>
      <c r="RZ12" s="246"/>
      <c r="SA12" s="246"/>
      <c r="SB12" s="246"/>
      <c r="SC12" s="246"/>
      <c r="SD12" s="246"/>
      <c r="SE12" s="246"/>
      <c r="SF12" s="246"/>
      <c r="SG12" s="246"/>
      <c r="SH12" s="246"/>
      <c r="SI12" s="246"/>
      <c r="SJ12" s="246"/>
      <c r="SK12" s="246"/>
      <c r="SL12" s="246"/>
      <c r="SM12" s="246"/>
      <c r="SN12" s="246"/>
      <c r="SO12" s="246"/>
      <c r="SP12" s="246"/>
      <c r="SQ12" s="246"/>
      <c r="SR12" s="246"/>
      <c r="SS12" s="246"/>
      <c r="ST12" s="246"/>
      <c r="SU12" s="246"/>
      <c r="SV12" s="246"/>
      <c r="SW12" s="246"/>
      <c r="SX12" s="246"/>
      <c r="SY12" s="246"/>
      <c r="SZ12" s="246"/>
      <c r="TA12" s="246"/>
      <c r="TB12" s="246"/>
      <c r="TC12" s="246"/>
      <c r="TD12" s="246"/>
      <c r="TE12" s="246"/>
      <c r="TF12" s="246"/>
      <c r="TG12" s="246"/>
      <c r="TH12" s="246"/>
      <c r="TI12" s="246"/>
      <c r="TJ12" s="246"/>
      <c r="TK12" s="246"/>
      <c r="TL12" s="246"/>
      <c r="TM12" s="246"/>
      <c r="TN12" s="246"/>
      <c r="TO12" s="246"/>
      <c r="TP12" s="246"/>
      <c r="TQ12" s="246"/>
      <c r="TR12" s="246"/>
      <c r="TS12" s="246"/>
      <c r="TT12" s="246"/>
      <c r="TU12" s="246"/>
      <c r="TV12" s="246"/>
      <c r="TW12" s="246"/>
      <c r="TX12" s="246"/>
      <c r="TY12" s="246"/>
      <c r="TZ12" s="246"/>
      <c r="UA12" s="246"/>
      <c r="UB12" s="246"/>
      <c r="UC12" s="246"/>
      <c r="UD12" s="246"/>
      <c r="UE12" s="246"/>
      <c r="UF12" s="246"/>
      <c r="UG12" s="246"/>
      <c r="UH12" s="246"/>
      <c r="UI12" s="246"/>
      <c r="UJ12" s="246"/>
      <c r="UK12" s="246"/>
      <c r="UL12" s="246"/>
      <c r="UM12" s="246"/>
      <c r="UN12" s="246"/>
      <c r="UO12" s="246"/>
      <c r="UP12" s="246"/>
      <c r="UQ12" s="246"/>
      <c r="UR12" s="246"/>
      <c r="US12" s="246"/>
      <c r="UT12" s="246"/>
      <c r="UU12" s="246"/>
      <c r="UV12" s="246"/>
      <c r="UW12" s="246"/>
      <c r="UX12" s="246"/>
      <c r="UY12" s="246"/>
      <c r="UZ12" s="246"/>
      <c r="VA12" s="246"/>
      <c r="VB12" s="246"/>
      <c r="VC12" s="246"/>
      <c r="VD12" s="246"/>
      <c r="VE12" s="246"/>
      <c r="VF12" s="246"/>
      <c r="VG12" s="246"/>
      <c r="VH12" s="246"/>
      <c r="VI12" s="246"/>
      <c r="VJ12" s="246"/>
      <c r="VK12" s="246"/>
      <c r="VL12" s="246"/>
      <c r="VM12" s="246"/>
      <c r="VN12" s="246"/>
      <c r="VO12" s="246"/>
      <c r="VP12" s="246"/>
      <c r="VQ12" s="246"/>
      <c r="VR12" s="246"/>
      <c r="VS12" s="246"/>
      <c r="VT12" s="246"/>
      <c r="VU12" s="246"/>
      <c r="VV12" s="246"/>
      <c r="VW12" s="246"/>
      <c r="VX12" s="246"/>
      <c r="VY12" s="246"/>
      <c r="VZ12" s="246"/>
      <c r="WA12" s="246"/>
      <c r="WB12" s="246"/>
      <c r="WC12" s="246"/>
      <c r="WD12" s="246"/>
      <c r="WE12" s="246"/>
      <c r="WF12" s="246"/>
      <c r="WG12" s="246"/>
      <c r="WH12" s="246"/>
      <c r="WI12" s="246"/>
      <c r="WJ12" s="246"/>
      <c r="WK12" s="246"/>
      <c r="WL12" s="246"/>
      <c r="WM12" s="246"/>
      <c r="WN12" s="246"/>
      <c r="WO12" s="246"/>
      <c r="WP12" s="246"/>
      <c r="WQ12" s="246"/>
      <c r="WR12" s="246"/>
      <c r="WS12" s="246"/>
      <c r="WT12" s="246"/>
      <c r="WU12" s="246"/>
      <c r="WV12" s="246"/>
      <c r="WW12" s="246"/>
      <c r="WX12" s="246"/>
      <c r="WY12" s="246"/>
      <c r="WZ12" s="246"/>
      <c r="XA12" s="246"/>
      <c r="XB12" s="246"/>
      <c r="XC12" s="246"/>
      <c r="XD12" s="246"/>
      <c r="XE12" s="246"/>
      <c r="XF12" s="246"/>
      <c r="XG12" s="246"/>
      <c r="XH12" s="246"/>
      <c r="XI12" s="246"/>
      <c r="XJ12" s="246"/>
      <c r="XK12" s="246"/>
      <c r="XL12" s="246"/>
      <c r="XM12" s="246"/>
      <c r="XN12" s="246"/>
      <c r="XO12" s="246"/>
      <c r="XP12" s="246"/>
      <c r="XQ12" s="246"/>
      <c r="XR12" s="246"/>
      <c r="XS12" s="246"/>
      <c r="XT12" s="246"/>
      <c r="XU12" s="246"/>
      <c r="XV12" s="246"/>
      <c r="XW12" s="246"/>
      <c r="XX12" s="246"/>
      <c r="XY12" s="246"/>
      <c r="XZ12" s="246"/>
      <c r="YA12" s="246"/>
      <c r="YB12" s="246"/>
      <c r="YC12" s="246"/>
      <c r="YD12" s="246"/>
      <c r="YE12" s="246"/>
      <c r="YF12" s="246"/>
      <c r="YG12" s="246"/>
      <c r="YH12" s="246"/>
      <c r="YI12" s="246"/>
      <c r="YJ12" s="246"/>
      <c r="YK12" s="246"/>
      <c r="YL12" s="246"/>
      <c r="YM12" s="246"/>
      <c r="YN12" s="246"/>
      <c r="YO12" s="246"/>
      <c r="YP12" s="246"/>
      <c r="YQ12" s="246"/>
      <c r="YR12" s="246"/>
      <c r="YS12" s="246"/>
      <c r="YT12" s="246"/>
      <c r="YU12" s="246"/>
      <c r="YV12" s="246"/>
      <c r="YW12" s="246"/>
      <c r="YX12" s="246"/>
      <c r="YY12" s="246"/>
      <c r="YZ12" s="246"/>
      <c r="ZA12" s="246"/>
      <c r="ZB12" s="246"/>
      <c r="ZC12" s="246"/>
      <c r="ZD12" s="246"/>
      <c r="ZE12" s="246"/>
      <c r="ZF12" s="246"/>
      <c r="ZG12" s="246"/>
      <c r="ZH12" s="246"/>
      <c r="ZI12" s="246"/>
      <c r="ZJ12" s="246"/>
      <c r="ZK12" s="246"/>
      <c r="ZL12" s="246"/>
      <c r="ZM12" s="246"/>
      <c r="ZN12" s="246"/>
      <c r="ZO12" s="246"/>
      <c r="ZP12" s="246"/>
      <c r="ZQ12" s="246"/>
      <c r="ZR12" s="246"/>
      <c r="ZS12" s="246"/>
      <c r="ZT12" s="246"/>
      <c r="ZU12" s="246"/>
      <c r="ZV12" s="246"/>
      <c r="ZW12" s="246"/>
      <c r="ZX12" s="246"/>
      <c r="ZY12" s="246"/>
      <c r="ZZ12" s="246"/>
      <c r="AAA12" s="246"/>
      <c r="AAB12" s="246"/>
      <c r="AAC12" s="246"/>
      <c r="AAD12" s="246"/>
      <c r="AAE12" s="246"/>
      <c r="AAF12" s="246"/>
      <c r="AAG12" s="246"/>
      <c r="AAH12" s="246"/>
      <c r="AAI12" s="246"/>
      <c r="AAJ12" s="246"/>
      <c r="AAK12" s="246"/>
      <c r="AAL12" s="246"/>
      <c r="AAM12" s="246"/>
      <c r="AAN12" s="246"/>
      <c r="AAO12" s="246"/>
      <c r="AAP12" s="246"/>
      <c r="AAQ12" s="246"/>
      <c r="AAR12" s="246"/>
      <c r="AAS12" s="246"/>
      <c r="AAT12" s="246"/>
      <c r="AAU12" s="246"/>
      <c r="AAV12" s="246"/>
      <c r="AAW12" s="246"/>
      <c r="AAX12" s="246"/>
      <c r="AAY12" s="246"/>
      <c r="AAZ12" s="246"/>
      <c r="ABA12" s="246"/>
      <c r="ABB12" s="246"/>
      <c r="ABC12" s="246"/>
      <c r="ABD12" s="246"/>
      <c r="ABE12" s="246"/>
      <c r="ABF12" s="246"/>
      <c r="ABG12" s="246"/>
      <c r="ABH12" s="246"/>
      <c r="ABI12" s="246"/>
      <c r="ABJ12" s="246"/>
      <c r="ABK12" s="246"/>
      <c r="ABL12" s="246"/>
      <c r="ABM12" s="246"/>
      <c r="ABN12" s="246"/>
      <c r="ABO12" s="246"/>
      <c r="ABP12" s="246"/>
      <c r="ABQ12" s="246"/>
      <c r="ABR12" s="246"/>
      <c r="ABS12" s="246"/>
      <c r="ABT12" s="246"/>
      <c r="ABU12" s="246"/>
      <c r="ABV12" s="246"/>
      <c r="ABW12" s="246"/>
      <c r="ABX12" s="246"/>
      <c r="ABY12" s="246"/>
      <c r="ABZ12" s="246"/>
      <c r="ACA12" s="246"/>
      <c r="ACB12" s="246"/>
      <c r="ACC12" s="246"/>
      <c r="ACD12" s="246"/>
      <c r="ACE12" s="246"/>
      <c r="ACF12" s="246"/>
      <c r="ACG12" s="246"/>
      <c r="ACH12" s="246"/>
      <c r="ACI12" s="246"/>
      <c r="ACJ12" s="246"/>
      <c r="ACK12" s="246"/>
      <c r="ACL12" s="246"/>
      <c r="ACM12" s="246"/>
      <c r="ACN12" s="246"/>
      <c r="ACO12" s="246"/>
      <c r="ACP12" s="246"/>
      <c r="ACQ12" s="246"/>
      <c r="ACR12" s="246"/>
      <c r="ACS12" s="246"/>
      <c r="ACT12" s="246"/>
      <c r="ACU12" s="246"/>
      <c r="ACV12" s="246"/>
      <c r="ACW12" s="246"/>
      <c r="ACX12" s="246"/>
      <c r="ACY12" s="246"/>
      <c r="ACZ12" s="246"/>
      <c r="ADA12" s="246"/>
      <c r="ADB12" s="246"/>
      <c r="ADC12" s="246"/>
      <c r="ADD12" s="246"/>
      <c r="ADE12" s="246"/>
      <c r="ADF12" s="246"/>
      <c r="ADG12" s="246"/>
      <c r="ADH12" s="246"/>
      <c r="ADI12" s="246"/>
      <c r="ADJ12" s="246"/>
      <c r="ADK12" s="246"/>
      <c r="ADL12" s="246"/>
      <c r="ADM12" s="246"/>
      <c r="ADN12" s="246"/>
      <c r="ADO12" s="246"/>
      <c r="ADP12" s="246"/>
      <c r="ADQ12" s="246"/>
      <c r="ADR12" s="246"/>
      <c r="ADS12" s="246"/>
      <c r="ADT12" s="246"/>
      <c r="ADU12" s="246"/>
      <c r="ADV12" s="246"/>
      <c r="ADW12" s="246"/>
      <c r="ADX12" s="246"/>
      <c r="ADY12" s="246"/>
      <c r="ADZ12" s="246"/>
      <c r="AEA12" s="246"/>
      <c r="AEB12" s="246"/>
      <c r="AEC12" s="246"/>
      <c r="AED12" s="246"/>
      <c r="AEE12" s="246"/>
      <c r="AEF12" s="246"/>
      <c r="AEG12" s="246"/>
      <c r="AEH12" s="246"/>
      <c r="AEI12" s="246"/>
      <c r="AEJ12" s="246"/>
      <c r="AEK12" s="246"/>
      <c r="AEL12" s="246"/>
      <c r="AEM12" s="246"/>
      <c r="AEN12" s="246"/>
      <c r="AEO12" s="246"/>
      <c r="AEP12" s="246"/>
      <c r="AEQ12" s="246"/>
      <c r="AER12" s="246"/>
      <c r="AES12" s="246"/>
      <c r="AET12" s="246"/>
      <c r="AEU12" s="246"/>
      <c r="AEV12" s="246"/>
      <c r="AEW12" s="246"/>
      <c r="AEX12" s="246"/>
      <c r="AEY12" s="246"/>
      <c r="AEZ12" s="246"/>
      <c r="AFA12" s="246"/>
      <c r="AFB12" s="246"/>
      <c r="AFC12" s="246"/>
      <c r="AFD12" s="246"/>
      <c r="AFE12" s="246"/>
      <c r="AFF12" s="246"/>
      <c r="AFG12" s="246"/>
      <c r="AFH12" s="246"/>
      <c r="AFI12" s="246"/>
      <c r="AFJ12" s="246"/>
      <c r="AFK12" s="246"/>
      <c r="AFL12" s="246"/>
      <c r="AFM12" s="246"/>
      <c r="AFN12" s="246"/>
      <c r="AFO12" s="246"/>
      <c r="AFP12" s="246"/>
      <c r="AFQ12" s="246"/>
      <c r="AFR12" s="246"/>
      <c r="AFS12" s="246"/>
      <c r="AFT12" s="246"/>
      <c r="AFU12" s="246"/>
      <c r="AFV12" s="246"/>
      <c r="AFW12" s="246"/>
      <c r="AFX12" s="246"/>
      <c r="AFY12" s="246"/>
      <c r="AFZ12" s="246"/>
      <c r="AGA12" s="246"/>
      <c r="AGB12" s="246"/>
    </row>
    <row r="13" spans="1:860" s="252" customFormat="1" ht="14.25" customHeight="1" x14ac:dyDescent="0.25">
      <c r="A13" s="367">
        <v>9708</v>
      </c>
      <c r="B13" s="151" t="s">
        <v>5</v>
      </c>
      <c r="C13" s="301">
        <v>45784</v>
      </c>
      <c r="D13" s="305">
        <v>45784</v>
      </c>
      <c r="E13" s="305" t="s">
        <v>51</v>
      </c>
      <c r="F13" s="305" t="s">
        <v>51</v>
      </c>
      <c r="G13" s="305">
        <v>45789</v>
      </c>
      <c r="H13" s="297">
        <v>45799</v>
      </c>
      <c r="I13" s="172"/>
      <c r="J13" s="167" t="s">
        <v>387</v>
      </c>
      <c r="K13" s="143" t="s">
        <v>282</v>
      </c>
      <c r="L13" s="143" t="s">
        <v>198</v>
      </c>
      <c r="M13" s="173">
        <f t="shared" si="6"/>
        <v>45002</v>
      </c>
      <c r="N13" s="176">
        <v>7045251749</v>
      </c>
      <c r="O13" s="167"/>
      <c r="P13" s="21" t="s">
        <v>353</v>
      </c>
      <c r="Q13" s="143" t="s">
        <v>64</v>
      </c>
      <c r="R13" s="167" t="s">
        <v>58</v>
      </c>
      <c r="S13" s="143" t="s">
        <v>341</v>
      </c>
      <c r="T13" s="174" t="s">
        <v>514</v>
      </c>
      <c r="U13" s="167"/>
      <c r="V13" s="167" t="s">
        <v>61</v>
      </c>
      <c r="W13" s="167" t="s">
        <v>269</v>
      </c>
      <c r="X13" s="167"/>
      <c r="Y13" s="154">
        <v>15</v>
      </c>
      <c r="Z13" s="154">
        <v>15</v>
      </c>
      <c r="AA13" s="155">
        <v>19.95</v>
      </c>
      <c r="AB13" s="168">
        <f t="shared" si="4"/>
        <v>449.25</v>
      </c>
      <c r="AC13" s="167">
        <v>150</v>
      </c>
      <c r="AD13" s="346"/>
      <c r="AE13" s="297"/>
      <c r="AF13" s="297"/>
      <c r="AG13" s="297"/>
      <c r="AH13" s="297"/>
      <c r="AI13" s="178"/>
      <c r="AJ13" s="143"/>
      <c r="AK13" s="144" t="s">
        <v>62</v>
      </c>
      <c r="AL13" s="246"/>
      <c r="AM13" s="290"/>
      <c r="AN13" s="290"/>
      <c r="AO13" s="321"/>
      <c r="AP13" s="321">
        <f t="shared" si="5"/>
        <v>19</v>
      </c>
      <c r="AQ13" s="246"/>
      <c r="AR13" s="246"/>
      <c r="AS13" s="246"/>
      <c r="AT13" s="246"/>
      <c r="AU13" s="246"/>
      <c r="AV13" s="246"/>
      <c r="AW13" s="246"/>
      <c r="AX13" s="246"/>
      <c r="AY13" s="246"/>
      <c r="AZ13" s="246"/>
      <c r="BA13" s="246"/>
      <c r="BB13" s="246"/>
      <c r="BC13" s="246"/>
      <c r="BD13" s="246"/>
      <c r="BE13" s="246"/>
      <c r="BF13" s="246"/>
      <c r="BG13" s="246"/>
      <c r="BH13" s="246"/>
      <c r="BI13" s="246"/>
      <c r="BJ13" s="246"/>
      <c r="BK13" s="246"/>
      <c r="BL13" s="246"/>
      <c r="BM13" s="246"/>
      <c r="BN13" s="246"/>
      <c r="BO13" s="246"/>
      <c r="BP13" s="246"/>
      <c r="BQ13" s="246"/>
      <c r="BR13" s="246"/>
      <c r="BS13" s="246"/>
      <c r="BT13" s="246"/>
      <c r="BU13" s="246"/>
      <c r="BV13" s="246"/>
      <c r="BW13" s="246"/>
      <c r="BX13" s="246"/>
      <c r="BY13" s="246"/>
      <c r="BZ13" s="246"/>
      <c r="CA13" s="246"/>
      <c r="CB13" s="246"/>
      <c r="CC13" s="246"/>
      <c r="CD13" s="246"/>
      <c r="CE13" s="246"/>
      <c r="CF13" s="246"/>
      <c r="CG13" s="246"/>
      <c r="CH13" s="246"/>
      <c r="CI13" s="246"/>
      <c r="CJ13" s="246"/>
      <c r="CK13" s="246"/>
      <c r="CL13" s="246"/>
      <c r="CM13" s="246"/>
      <c r="CN13" s="246"/>
      <c r="CO13" s="246"/>
      <c r="CP13" s="246"/>
      <c r="CQ13" s="246"/>
      <c r="CR13" s="246"/>
      <c r="CS13" s="246"/>
      <c r="CT13" s="246"/>
      <c r="CU13" s="246"/>
      <c r="CV13" s="246"/>
      <c r="CW13" s="246"/>
      <c r="CX13" s="246"/>
      <c r="CY13" s="246"/>
      <c r="CZ13" s="246"/>
      <c r="DA13" s="246"/>
      <c r="DB13" s="246"/>
      <c r="DC13" s="246"/>
      <c r="DD13" s="246"/>
      <c r="DE13" s="246"/>
      <c r="DF13" s="246"/>
      <c r="DG13" s="246"/>
      <c r="DH13" s="246"/>
      <c r="DI13" s="246"/>
      <c r="DJ13" s="246"/>
      <c r="DK13" s="246"/>
      <c r="DL13" s="246"/>
      <c r="DM13" s="246"/>
      <c r="DN13" s="246"/>
      <c r="DO13" s="246"/>
      <c r="DP13" s="246"/>
      <c r="DQ13" s="246"/>
      <c r="DR13" s="246"/>
      <c r="DS13" s="246"/>
      <c r="DT13" s="246"/>
      <c r="DU13" s="246"/>
      <c r="DV13" s="246"/>
      <c r="DW13" s="246"/>
      <c r="DX13" s="246"/>
      <c r="DY13" s="246"/>
      <c r="DZ13" s="246"/>
      <c r="EA13" s="246"/>
      <c r="EB13" s="246"/>
      <c r="EC13" s="246"/>
      <c r="ED13" s="246"/>
      <c r="EE13" s="246"/>
      <c r="EF13" s="246"/>
      <c r="EG13" s="246"/>
      <c r="EH13" s="246"/>
      <c r="EI13" s="246"/>
      <c r="EJ13" s="246"/>
      <c r="EK13" s="246"/>
      <c r="EL13" s="246"/>
      <c r="EM13" s="246"/>
      <c r="EN13" s="246"/>
      <c r="EO13" s="246"/>
      <c r="EP13" s="246"/>
      <c r="EQ13" s="246"/>
      <c r="ER13" s="246"/>
      <c r="ES13" s="246"/>
      <c r="ET13" s="246"/>
      <c r="EU13" s="246"/>
      <c r="EV13" s="246"/>
      <c r="EW13" s="246"/>
      <c r="EX13" s="246"/>
      <c r="EY13" s="246"/>
      <c r="EZ13" s="246"/>
      <c r="FA13" s="246"/>
      <c r="FB13" s="246"/>
      <c r="FC13" s="246"/>
      <c r="FD13" s="246"/>
      <c r="FE13" s="246"/>
      <c r="FF13" s="246"/>
      <c r="FG13" s="246"/>
      <c r="FH13" s="246"/>
      <c r="FI13" s="246"/>
      <c r="FJ13" s="246"/>
      <c r="FK13" s="246"/>
      <c r="FL13" s="246"/>
      <c r="FM13" s="246"/>
      <c r="FN13" s="246"/>
      <c r="FO13" s="246"/>
      <c r="FP13" s="246"/>
      <c r="FQ13" s="246"/>
      <c r="FR13" s="246"/>
      <c r="FS13" s="246"/>
      <c r="FT13" s="246"/>
      <c r="FU13" s="246"/>
      <c r="FV13" s="246"/>
      <c r="FW13" s="246"/>
      <c r="FX13" s="246"/>
      <c r="FY13" s="246"/>
      <c r="FZ13" s="246"/>
      <c r="GA13" s="246"/>
      <c r="GB13" s="246"/>
      <c r="GC13" s="246"/>
      <c r="GD13" s="246"/>
      <c r="GE13" s="246"/>
      <c r="GF13" s="246"/>
      <c r="GG13" s="246"/>
      <c r="GH13" s="246"/>
      <c r="GI13" s="246"/>
      <c r="GJ13" s="246"/>
      <c r="GK13" s="246"/>
      <c r="GL13" s="246"/>
      <c r="GM13" s="246"/>
      <c r="GN13" s="246"/>
      <c r="GO13" s="246"/>
      <c r="GP13" s="246"/>
      <c r="GQ13" s="246"/>
      <c r="GR13" s="246"/>
      <c r="GS13" s="246"/>
      <c r="GT13" s="246"/>
      <c r="GU13" s="246"/>
      <c r="GV13" s="246"/>
      <c r="GW13" s="246"/>
      <c r="GX13" s="246"/>
      <c r="GY13" s="246"/>
      <c r="GZ13" s="246"/>
      <c r="HA13" s="246"/>
      <c r="HB13" s="246"/>
      <c r="HC13" s="246"/>
      <c r="HD13" s="246"/>
      <c r="HE13" s="246"/>
      <c r="HF13" s="246"/>
      <c r="HG13" s="246"/>
      <c r="HH13" s="246"/>
      <c r="HI13" s="246"/>
      <c r="HJ13" s="246"/>
      <c r="HK13" s="246"/>
      <c r="HL13" s="246"/>
      <c r="HM13" s="246"/>
      <c r="HN13" s="246"/>
      <c r="HO13" s="246"/>
      <c r="HP13" s="246"/>
      <c r="HQ13" s="246"/>
      <c r="HR13" s="246"/>
      <c r="HS13" s="246"/>
      <c r="HT13" s="246"/>
      <c r="HU13" s="246"/>
      <c r="HV13" s="246"/>
      <c r="HW13" s="246"/>
      <c r="HX13" s="246"/>
      <c r="HY13" s="246"/>
      <c r="HZ13" s="246"/>
      <c r="IA13" s="246"/>
      <c r="IB13" s="246"/>
      <c r="IC13" s="246"/>
      <c r="ID13" s="246"/>
      <c r="IE13" s="246"/>
      <c r="IF13" s="246"/>
      <c r="IG13" s="246"/>
      <c r="IH13" s="246"/>
      <c r="II13" s="246"/>
      <c r="IJ13" s="246"/>
      <c r="IK13" s="246"/>
      <c r="IL13" s="246"/>
      <c r="IM13" s="246"/>
      <c r="IN13" s="246"/>
      <c r="IO13" s="246"/>
      <c r="IP13" s="246"/>
      <c r="IQ13" s="246"/>
      <c r="IR13" s="246"/>
      <c r="IS13" s="246"/>
      <c r="IT13" s="246"/>
      <c r="IU13" s="246"/>
      <c r="IV13" s="246"/>
      <c r="IW13" s="246"/>
      <c r="IX13" s="246"/>
      <c r="IY13" s="246"/>
      <c r="IZ13" s="246"/>
      <c r="JA13" s="246"/>
      <c r="JB13" s="246"/>
      <c r="JC13" s="246"/>
      <c r="JD13" s="246"/>
      <c r="JE13" s="246"/>
      <c r="JF13" s="246"/>
      <c r="JG13" s="246"/>
      <c r="JH13" s="246"/>
      <c r="JI13" s="246"/>
      <c r="JJ13" s="246"/>
      <c r="JK13" s="246"/>
      <c r="JL13" s="246"/>
      <c r="JM13" s="246"/>
      <c r="JN13" s="246"/>
      <c r="JO13" s="246"/>
      <c r="JP13" s="246"/>
      <c r="JQ13" s="246"/>
      <c r="JR13" s="246"/>
      <c r="JS13" s="246"/>
      <c r="JT13" s="246"/>
      <c r="JU13" s="246"/>
      <c r="JV13" s="246"/>
      <c r="JW13" s="246"/>
      <c r="JX13" s="246"/>
      <c r="JY13" s="246"/>
      <c r="JZ13" s="246"/>
      <c r="KA13" s="246"/>
      <c r="KB13" s="246"/>
      <c r="KC13" s="246"/>
      <c r="KD13" s="246"/>
      <c r="KE13" s="246"/>
      <c r="KF13" s="246"/>
      <c r="KG13" s="246"/>
      <c r="KH13" s="246"/>
      <c r="KI13" s="246"/>
      <c r="KJ13" s="246"/>
      <c r="KK13" s="246"/>
      <c r="KL13" s="246"/>
      <c r="KM13" s="246"/>
      <c r="KN13" s="246"/>
      <c r="KO13" s="246"/>
      <c r="KP13" s="246"/>
      <c r="KQ13" s="246"/>
      <c r="KR13" s="246"/>
      <c r="KS13" s="246"/>
      <c r="KT13" s="246"/>
      <c r="KU13" s="246"/>
      <c r="KV13" s="246"/>
      <c r="KW13" s="246"/>
      <c r="KX13" s="246"/>
      <c r="KY13" s="246"/>
      <c r="KZ13" s="246"/>
      <c r="LA13" s="246"/>
      <c r="LB13" s="246"/>
      <c r="LC13" s="246"/>
      <c r="LD13" s="246"/>
      <c r="LE13" s="246"/>
      <c r="LF13" s="246"/>
      <c r="LG13" s="246"/>
      <c r="LH13" s="246"/>
      <c r="LI13" s="246"/>
      <c r="LJ13" s="246"/>
      <c r="LK13" s="246"/>
      <c r="LL13" s="246"/>
      <c r="LM13" s="246"/>
      <c r="LN13" s="246"/>
      <c r="LO13" s="246"/>
      <c r="LP13" s="246"/>
      <c r="LQ13" s="246"/>
      <c r="LR13" s="246"/>
      <c r="LS13" s="246"/>
      <c r="LT13" s="246"/>
      <c r="LU13" s="246"/>
      <c r="LV13" s="246"/>
      <c r="LW13" s="246"/>
      <c r="LX13" s="246"/>
      <c r="LY13" s="246"/>
      <c r="LZ13" s="246"/>
      <c r="MA13" s="246"/>
      <c r="MB13" s="246"/>
      <c r="MC13" s="246"/>
      <c r="MD13" s="246"/>
      <c r="ME13" s="246"/>
      <c r="MF13" s="246"/>
      <c r="MG13" s="246"/>
      <c r="MH13" s="246"/>
      <c r="MI13" s="246"/>
      <c r="MJ13" s="246"/>
      <c r="MK13" s="246"/>
      <c r="ML13" s="246"/>
      <c r="MM13" s="246"/>
      <c r="MN13" s="246"/>
      <c r="MO13" s="246"/>
      <c r="MP13" s="246"/>
      <c r="MQ13" s="246"/>
      <c r="MR13" s="246"/>
      <c r="MS13" s="246"/>
      <c r="MT13" s="246"/>
      <c r="MU13" s="246"/>
      <c r="MV13" s="246"/>
      <c r="MW13" s="246"/>
      <c r="MX13" s="246"/>
      <c r="MY13" s="246"/>
      <c r="MZ13" s="246"/>
      <c r="NA13" s="246"/>
      <c r="NB13" s="246"/>
      <c r="NC13" s="246"/>
      <c r="ND13" s="246"/>
      <c r="NE13" s="246"/>
      <c r="NF13" s="246"/>
      <c r="NG13" s="246"/>
      <c r="NH13" s="246"/>
      <c r="NI13" s="246"/>
      <c r="NJ13" s="246"/>
      <c r="NK13" s="246"/>
      <c r="NL13" s="246"/>
      <c r="NM13" s="246"/>
      <c r="NN13" s="246"/>
      <c r="NO13" s="246"/>
      <c r="NP13" s="246"/>
      <c r="NQ13" s="246"/>
      <c r="NR13" s="246"/>
      <c r="NS13" s="246"/>
      <c r="NT13" s="246"/>
      <c r="NU13" s="246"/>
      <c r="NV13" s="246"/>
      <c r="NW13" s="246"/>
      <c r="NX13" s="246"/>
      <c r="NY13" s="246"/>
      <c r="NZ13" s="246"/>
      <c r="OA13" s="246"/>
      <c r="OB13" s="246"/>
      <c r="OC13" s="246"/>
      <c r="OD13" s="246"/>
      <c r="OE13" s="246"/>
      <c r="OF13" s="246"/>
      <c r="OG13" s="246"/>
      <c r="OH13" s="246"/>
      <c r="OI13" s="246"/>
      <c r="OJ13" s="246"/>
      <c r="OK13" s="246"/>
      <c r="OL13" s="246"/>
      <c r="OM13" s="246"/>
      <c r="ON13" s="246"/>
      <c r="OO13" s="246"/>
      <c r="OP13" s="246"/>
      <c r="OQ13" s="246"/>
      <c r="OR13" s="246"/>
      <c r="OS13" s="246"/>
      <c r="OT13" s="246"/>
      <c r="OU13" s="246"/>
      <c r="OV13" s="246"/>
      <c r="OW13" s="246"/>
      <c r="OX13" s="246"/>
      <c r="OY13" s="246"/>
      <c r="OZ13" s="246"/>
      <c r="PA13" s="246"/>
      <c r="PB13" s="246"/>
      <c r="PC13" s="246"/>
      <c r="PD13" s="246"/>
      <c r="PE13" s="246"/>
      <c r="PF13" s="246"/>
      <c r="PG13" s="246"/>
      <c r="PH13" s="246"/>
      <c r="PI13" s="246"/>
      <c r="PJ13" s="246"/>
      <c r="PK13" s="246"/>
      <c r="PL13" s="246"/>
      <c r="PM13" s="246"/>
      <c r="PN13" s="246"/>
      <c r="PO13" s="246"/>
      <c r="PP13" s="246"/>
      <c r="PQ13" s="246"/>
      <c r="PR13" s="246"/>
      <c r="PS13" s="246"/>
      <c r="PT13" s="246"/>
      <c r="PU13" s="246"/>
      <c r="PV13" s="246"/>
      <c r="PW13" s="246"/>
      <c r="PX13" s="246"/>
      <c r="PY13" s="246"/>
      <c r="PZ13" s="246"/>
      <c r="QA13" s="246"/>
      <c r="QB13" s="246"/>
      <c r="QC13" s="246"/>
      <c r="QD13" s="246"/>
      <c r="QE13" s="246"/>
      <c r="QF13" s="246"/>
      <c r="QG13" s="246"/>
      <c r="QH13" s="246"/>
      <c r="QI13" s="246"/>
      <c r="QJ13" s="246"/>
      <c r="QK13" s="246"/>
      <c r="QL13" s="246"/>
      <c r="QM13" s="246"/>
      <c r="QN13" s="246"/>
      <c r="QO13" s="246"/>
      <c r="QP13" s="246"/>
      <c r="QQ13" s="246"/>
      <c r="QR13" s="246"/>
      <c r="QS13" s="246"/>
      <c r="QT13" s="246"/>
      <c r="QU13" s="246"/>
      <c r="QV13" s="246"/>
      <c r="QW13" s="246"/>
      <c r="QX13" s="246"/>
      <c r="QY13" s="246"/>
      <c r="QZ13" s="246"/>
      <c r="RA13" s="246"/>
      <c r="RB13" s="246"/>
      <c r="RC13" s="246"/>
      <c r="RD13" s="246"/>
      <c r="RE13" s="246"/>
      <c r="RF13" s="246"/>
      <c r="RG13" s="246"/>
      <c r="RH13" s="246"/>
      <c r="RI13" s="246"/>
      <c r="RJ13" s="246"/>
      <c r="RK13" s="246"/>
      <c r="RL13" s="246"/>
      <c r="RM13" s="246"/>
      <c r="RN13" s="246"/>
      <c r="RO13" s="246"/>
      <c r="RP13" s="246"/>
      <c r="RQ13" s="246"/>
      <c r="RR13" s="246"/>
      <c r="RS13" s="246"/>
      <c r="RT13" s="246"/>
      <c r="RU13" s="246"/>
      <c r="RV13" s="246"/>
      <c r="RW13" s="246"/>
      <c r="RX13" s="246"/>
      <c r="RY13" s="246"/>
      <c r="RZ13" s="246"/>
      <c r="SA13" s="246"/>
      <c r="SB13" s="246"/>
      <c r="SC13" s="246"/>
      <c r="SD13" s="246"/>
      <c r="SE13" s="246"/>
      <c r="SF13" s="246"/>
      <c r="SG13" s="246"/>
      <c r="SH13" s="246"/>
      <c r="SI13" s="246"/>
      <c r="SJ13" s="246"/>
      <c r="SK13" s="246"/>
      <c r="SL13" s="246"/>
      <c r="SM13" s="246"/>
      <c r="SN13" s="246"/>
      <c r="SO13" s="246"/>
      <c r="SP13" s="246"/>
      <c r="SQ13" s="246"/>
      <c r="SR13" s="246"/>
      <c r="SS13" s="246"/>
      <c r="ST13" s="246"/>
      <c r="SU13" s="246"/>
      <c r="SV13" s="246"/>
      <c r="SW13" s="246"/>
      <c r="SX13" s="246"/>
      <c r="SY13" s="246"/>
      <c r="SZ13" s="246"/>
      <c r="TA13" s="246"/>
      <c r="TB13" s="246"/>
      <c r="TC13" s="246"/>
      <c r="TD13" s="246"/>
      <c r="TE13" s="246"/>
      <c r="TF13" s="246"/>
      <c r="TG13" s="246"/>
      <c r="TH13" s="246"/>
      <c r="TI13" s="246"/>
      <c r="TJ13" s="246"/>
      <c r="TK13" s="246"/>
      <c r="TL13" s="246"/>
      <c r="TM13" s="246"/>
      <c r="TN13" s="246"/>
      <c r="TO13" s="246"/>
      <c r="TP13" s="246"/>
      <c r="TQ13" s="246"/>
      <c r="TR13" s="246"/>
      <c r="TS13" s="246"/>
      <c r="TT13" s="246"/>
      <c r="TU13" s="246"/>
      <c r="TV13" s="246"/>
      <c r="TW13" s="246"/>
      <c r="TX13" s="246"/>
      <c r="TY13" s="246"/>
      <c r="TZ13" s="246"/>
      <c r="UA13" s="246"/>
      <c r="UB13" s="246"/>
      <c r="UC13" s="246"/>
      <c r="UD13" s="246"/>
      <c r="UE13" s="246"/>
      <c r="UF13" s="246"/>
      <c r="UG13" s="246"/>
      <c r="UH13" s="246"/>
      <c r="UI13" s="246"/>
      <c r="UJ13" s="246"/>
      <c r="UK13" s="246"/>
      <c r="UL13" s="246"/>
      <c r="UM13" s="246"/>
      <c r="UN13" s="246"/>
      <c r="UO13" s="246"/>
      <c r="UP13" s="246"/>
      <c r="UQ13" s="246"/>
      <c r="UR13" s="246"/>
      <c r="US13" s="246"/>
      <c r="UT13" s="246"/>
      <c r="UU13" s="246"/>
      <c r="UV13" s="246"/>
      <c r="UW13" s="246"/>
      <c r="UX13" s="246"/>
      <c r="UY13" s="246"/>
      <c r="UZ13" s="246"/>
      <c r="VA13" s="246"/>
      <c r="VB13" s="246"/>
      <c r="VC13" s="246"/>
      <c r="VD13" s="246"/>
      <c r="VE13" s="246"/>
      <c r="VF13" s="246"/>
      <c r="VG13" s="246"/>
      <c r="VH13" s="246"/>
      <c r="VI13" s="246"/>
      <c r="VJ13" s="246"/>
      <c r="VK13" s="246"/>
      <c r="VL13" s="246"/>
      <c r="VM13" s="246"/>
      <c r="VN13" s="246"/>
      <c r="VO13" s="246"/>
      <c r="VP13" s="246"/>
      <c r="VQ13" s="246"/>
      <c r="VR13" s="246"/>
      <c r="VS13" s="246"/>
      <c r="VT13" s="246"/>
      <c r="VU13" s="246"/>
      <c r="VV13" s="246"/>
      <c r="VW13" s="246"/>
      <c r="VX13" s="246"/>
      <c r="VY13" s="246"/>
      <c r="VZ13" s="246"/>
      <c r="WA13" s="246"/>
      <c r="WB13" s="246"/>
      <c r="WC13" s="246"/>
      <c r="WD13" s="246"/>
      <c r="WE13" s="246"/>
      <c r="WF13" s="246"/>
      <c r="WG13" s="246"/>
      <c r="WH13" s="246"/>
      <c r="WI13" s="246"/>
      <c r="WJ13" s="246"/>
      <c r="WK13" s="246"/>
      <c r="WL13" s="246"/>
      <c r="WM13" s="246"/>
      <c r="WN13" s="246"/>
      <c r="WO13" s="246"/>
      <c r="WP13" s="246"/>
      <c r="WQ13" s="246"/>
      <c r="WR13" s="246"/>
      <c r="WS13" s="246"/>
      <c r="WT13" s="246"/>
      <c r="WU13" s="246"/>
      <c r="WV13" s="246"/>
      <c r="WW13" s="246"/>
      <c r="WX13" s="246"/>
      <c r="WY13" s="246"/>
      <c r="WZ13" s="246"/>
      <c r="XA13" s="246"/>
      <c r="XB13" s="246"/>
      <c r="XC13" s="246"/>
      <c r="XD13" s="246"/>
      <c r="XE13" s="246"/>
      <c r="XF13" s="246"/>
      <c r="XG13" s="246"/>
      <c r="XH13" s="246"/>
      <c r="XI13" s="246"/>
      <c r="XJ13" s="246"/>
      <c r="XK13" s="246"/>
      <c r="XL13" s="246"/>
      <c r="XM13" s="246"/>
      <c r="XN13" s="246"/>
      <c r="XO13" s="246"/>
      <c r="XP13" s="246"/>
      <c r="XQ13" s="246"/>
      <c r="XR13" s="246"/>
      <c r="XS13" s="246"/>
      <c r="XT13" s="246"/>
      <c r="XU13" s="246"/>
      <c r="XV13" s="246"/>
      <c r="XW13" s="246"/>
      <c r="XX13" s="246"/>
      <c r="XY13" s="246"/>
      <c r="XZ13" s="246"/>
      <c r="YA13" s="246"/>
      <c r="YB13" s="246"/>
      <c r="YC13" s="246"/>
      <c r="YD13" s="246"/>
      <c r="YE13" s="246"/>
      <c r="YF13" s="246"/>
      <c r="YG13" s="246"/>
      <c r="YH13" s="246"/>
      <c r="YI13" s="246"/>
      <c r="YJ13" s="246"/>
      <c r="YK13" s="246"/>
      <c r="YL13" s="246"/>
      <c r="YM13" s="246"/>
      <c r="YN13" s="246"/>
      <c r="YO13" s="246"/>
      <c r="YP13" s="246"/>
      <c r="YQ13" s="246"/>
      <c r="YR13" s="246"/>
      <c r="YS13" s="246"/>
      <c r="YT13" s="246"/>
      <c r="YU13" s="246"/>
      <c r="YV13" s="246"/>
      <c r="YW13" s="246"/>
      <c r="YX13" s="246"/>
      <c r="YY13" s="246"/>
      <c r="YZ13" s="246"/>
      <c r="ZA13" s="246"/>
      <c r="ZB13" s="246"/>
      <c r="ZC13" s="246"/>
      <c r="ZD13" s="246"/>
      <c r="ZE13" s="246"/>
      <c r="ZF13" s="246"/>
      <c r="ZG13" s="246"/>
      <c r="ZH13" s="246"/>
      <c r="ZI13" s="246"/>
      <c r="ZJ13" s="246"/>
      <c r="ZK13" s="246"/>
      <c r="ZL13" s="246"/>
      <c r="ZM13" s="246"/>
      <c r="ZN13" s="246"/>
      <c r="ZO13" s="246"/>
      <c r="ZP13" s="246"/>
      <c r="ZQ13" s="246"/>
      <c r="ZR13" s="246"/>
      <c r="ZS13" s="246"/>
      <c r="ZT13" s="246"/>
      <c r="ZU13" s="246"/>
      <c r="ZV13" s="246"/>
      <c r="ZW13" s="246"/>
      <c r="ZX13" s="246"/>
      <c r="ZY13" s="246"/>
      <c r="ZZ13" s="246"/>
      <c r="AAA13" s="246"/>
      <c r="AAB13" s="246"/>
      <c r="AAC13" s="246"/>
      <c r="AAD13" s="246"/>
      <c r="AAE13" s="246"/>
      <c r="AAF13" s="246"/>
      <c r="AAG13" s="246"/>
      <c r="AAH13" s="246"/>
      <c r="AAI13" s="246"/>
      <c r="AAJ13" s="246"/>
      <c r="AAK13" s="246"/>
      <c r="AAL13" s="246"/>
      <c r="AAM13" s="246"/>
      <c r="AAN13" s="246"/>
      <c r="AAO13" s="246"/>
      <c r="AAP13" s="246"/>
      <c r="AAQ13" s="246"/>
      <c r="AAR13" s="246"/>
      <c r="AAS13" s="246"/>
      <c r="AAT13" s="246"/>
      <c r="AAU13" s="246"/>
      <c r="AAV13" s="246"/>
      <c r="AAW13" s="246"/>
      <c r="AAX13" s="246"/>
      <c r="AAY13" s="246"/>
      <c r="AAZ13" s="246"/>
      <c r="ABA13" s="246"/>
      <c r="ABB13" s="246"/>
      <c r="ABC13" s="246"/>
      <c r="ABD13" s="246"/>
      <c r="ABE13" s="246"/>
      <c r="ABF13" s="246"/>
      <c r="ABG13" s="246"/>
      <c r="ABH13" s="246"/>
      <c r="ABI13" s="246"/>
      <c r="ABJ13" s="246"/>
      <c r="ABK13" s="246"/>
      <c r="ABL13" s="246"/>
      <c r="ABM13" s="246"/>
      <c r="ABN13" s="246"/>
      <c r="ABO13" s="246"/>
      <c r="ABP13" s="246"/>
      <c r="ABQ13" s="246"/>
      <c r="ABR13" s="246"/>
      <c r="ABS13" s="246"/>
      <c r="ABT13" s="246"/>
      <c r="ABU13" s="246"/>
      <c r="ABV13" s="246"/>
      <c r="ABW13" s="246"/>
      <c r="ABX13" s="246"/>
      <c r="ABY13" s="246"/>
      <c r="ABZ13" s="246"/>
      <c r="ACA13" s="246"/>
      <c r="ACB13" s="246"/>
      <c r="ACC13" s="246"/>
      <c r="ACD13" s="246"/>
      <c r="ACE13" s="246"/>
      <c r="ACF13" s="246"/>
      <c r="ACG13" s="246"/>
      <c r="ACH13" s="246"/>
      <c r="ACI13" s="246"/>
      <c r="ACJ13" s="246"/>
      <c r="ACK13" s="246"/>
      <c r="ACL13" s="246"/>
      <c r="ACM13" s="246"/>
      <c r="ACN13" s="246"/>
      <c r="ACO13" s="246"/>
      <c r="ACP13" s="246"/>
      <c r="ACQ13" s="246"/>
      <c r="ACR13" s="246"/>
      <c r="ACS13" s="246"/>
      <c r="ACT13" s="246"/>
      <c r="ACU13" s="246"/>
      <c r="ACV13" s="246"/>
      <c r="ACW13" s="246"/>
      <c r="ACX13" s="246"/>
      <c r="ACY13" s="246"/>
      <c r="ACZ13" s="246"/>
      <c r="ADA13" s="246"/>
      <c r="ADB13" s="246"/>
      <c r="ADC13" s="246"/>
      <c r="ADD13" s="246"/>
      <c r="ADE13" s="246"/>
      <c r="ADF13" s="246"/>
      <c r="ADG13" s="246"/>
      <c r="ADH13" s="246"/>
      <c r="ADI13" s="246"/>
      <c r="ADJ13" s="246"/>
      <c r="ADK13" s="246"/>
      <c r="ADL13" s="246"/>
      <c r="ADM13" s="246"/>
      <c r="ADN13" s="246"/>
      <c r="ADO13" s="246"/>
      <c r="ADP13" s="246"/>
      <c r="ADQ13" s="246"/>
      <c r="ADR13" s="246"/>
      <c r="ADS13" s="246"/>
      <c r="ADT13" s="246"/>
      <c r="ADU13" s="246"/>
      <c r="ADV13" s="246"/>
      <c r="ADW13" s="246"/>
      <c r="ADX13" s="246"/>
      <c r="ADY13" s="246"/>
      <c r="ADZ13" s="246"/>
      <c r="AEA13" s="246"/>
      <c r="AEB13" s="246"/>
      <c r="AEC13" s="246"/>
      <c r="AED13" s="246"/>
      <c r="AEE13" s="246"/>
      <c r="AEF13" s="246"/>
      <c r="AEG13" s="246"/>
      <c r="AEH13" s="246"/>
      <c r="AEI13" s="246"/>
      <c r="AEJ13" s="246"/>
      <c r="AEK13" s="246"/>
      <c r="AEL13" s="246"/>
      <c r="AEM13" s="246"/>
      <c r="AEN13" s="246"/>
      <c r="AEO13" s="246"/>
      <c r="AEP13" s="246"/>
      <c r="AEQ13" s="246"/>
      <c r="AER13" s="246"/>
      <c r="AES13" s="246"/>
      <c r="AET13" s="246"/>
      <c r="AEU13" s="246"/>
      <c r="AEV13" s="246"/>
      <c r="AEW13" s="246"/>
      <c r="AEX13" s="246"/>
      <c r="AEY13" s="246"/>
      <c r="AEZ13" s="246"/>
      <c r="AFA13" s="246"/>
      <c r="AFB13" s="246"/>
      <c r="AFC13" s="246"/>
      <c r="AFD13" s="246"/>
      <c r="AFE13" s="246"/>
      <c r="AFF13" s="246"/>
      <c r="AFG13" s="246"/>
      <c r="AFH13" s="246"/>
      <c r="AFI13" s="246"/>
      <c r="AFJ13" s="246"/>
      <c r="AFK13" s="246"/>
      <c r="AFL13" s="246"/>
      <c r="AFM13" s="246"/>
      <c r="AFN13" s="246"/>
      <c r="AFO13" s="246"/>
      <c r="AFP13" s="246"/>
      <c r="AFQ13" s="246"/>
      <c r="AFR13" s="246"/>
      <c r="AFS13" s="246"/>
      <c r="AFT13" s="246"/>
      <c r="AFU13" s="246"/>
      <c r="AFV13" s="246"/>
      <c r="AFW13" s="246"/>
      <c r="AFX13" s="246"/>
      <c r="AFY13" s="246"/>
      <c r="AFZ13" s="246"/>
      <c r="AGA13" s="246"/>
      <c r="AGB13" s="246"/>
    </row>
    <row r="14" spans="1:860" s="251" customFormat="1" ht="14.25" customHeight="1" x14ac:dyDescent="0.25">
      <c r="A14" s="367">
        <v>9709</v>
      </c>
      <c r="B14" s="167" t="s">
        <v>63</v>
      </c>
      <c r="C14" s="300">
        <v>45810</v>
      </c>
      <c r="D14" s="306">
        <v>45751</v>
      </c>
      <c r="E14" s="306" t="s">
        <v>51</v>
      </c>
      <c r="F14" s="316">
        <v>45751</v>
      </c>
      <c r="G14" s="306">
        <v>45810</v>
      </c>
      <c r="H14" s="304">
        <v>45804</v>
      </c>
      <c r="I14" s="211"/>
      <c r="J14" s="152" t="s">
        <v>489</v>
      </c>
      <c r="K14" s="144" t="s">
        <v>490</v>
      </c>
      <c r="L14" s="144" t="s">
        <v>485</v>
      </c>
      <c r="M14" s="207">
        <f t="shared" si="6"/>
        <v>45747</v>
      </c>
      <c r="N14" s="208" t="s">
        <v>491</v>
      </c>
      <c r="O14" s="144"/>
      <c r="P14" s="21" t="s">
        <v>492</v>
      </c>
      <c r="Q14" s="144" t="s">
        <v>71</v>
      </c>
      <c r="R14" s="152" t="s">
        <v>58</v>
      </c>
      <c r="S14" s="193" t="s">
        <v>275</v>
      </c>
      <c r="T14" s="206" t="s">
        <v>501</v>
      </c>
      <c r="U14" s="152"/>
      <c r="V14" s="152" t="s">
        <v>67</v>
      </c>
      <c r="W14" s="152" t="s">
        <v>502</v>
      </c>
      <c r="X14" s="152"/>
      <c r="Y14" s="209">
        <v>50</v>
      </c>
      <c r="Z14" s="218" t="s">
        <v>503</v>
      </c>
      <c r="AA14" s="210">
        <v>86.42</v>
      </c>
      <c r="AB14" s="168">
        <f t="shared" si="4"/>
        <v>4321</v>
      </c>
      <c r="AC14" s="152"/>
      <c r="AD14" s="284">
        <v>4500335823</v>
      </c>
      <c r="AE14" s="304">
        <v>45810</v>
      </c>
      <c r="AF14" s="304">
        <v>45810</v>
      </c>
      <c r="AG14" s="304">
        <v>45936</v>
      </c>
      <c r="AH14" s="304">
        <v>45937</v>
      </c>
      <c r="AI14" s="355" t="s">
        <v>539</v>
      </c>
      <c r="AJ14" s="206"/>
      <c r="AK14" s="144" t="s">
        <v>483</v>
      </c>
      <c r="AL14" s="246"/>
      <c r="AM14" s="290"/>
      <c r="AN14" s="290"/>
      <c r="AO14" s="321"/>
      <c r="AP14" s="321">
        <f t="shared" si="5"/>
        <v>23</v>
      </c>
      <c r="AQ14" s="246"/>
      <c r="AR14" s="246"/>
      <c r="AS14" s="246"/>
      <c r="AT14" s="246"/>
      <c r="AU14" s="246"/>
      <c r="AV14" s="246"/>
      <c r="AW14" s="246"/>
      <c r="AX14" s="246"/>
      <c r="AY14" s="246"/>
      <c r="AZ14" s="246"/>
      <c r="BA14" s="246"/>
      <c r="BB14" s="246"/>
      <c r="BC14" s="246"/>
      <c r="BD14" s="246"/>
      <c r="BE14" s="246"/>
      <c r="BF14" s="246"/>
      <c r="BG14" s="246"/>
      <c r="BH14" s="246"/>
      <c r="BI14" s="246"/>
      <c r="BJ14" s="246"/>
      <c r="BK14" s="246"/>
      <c r="BL14" s="246"/>
      <c r="BM14" s="246"/>
      <c r="BN14" s="246"/>
      <c r="BO14" s="246"/>
      <c r="BP14" s="246"/>
      <c r="BQ14" s="246"/>
      <c r="BR14" s="246"/>
      <c r="BS14" s="246"/>
      <c r="BT14" s="246"/>
      <c r="BU14" s="246"/>
      <c r="BV14" s="246"/>
      <c r="BW14" s="246"/>
      <c r="BX14" s="246"/>
      <c r="BY14" s="246"/>
      <c r="BZ14" s="246"/>
      <c r="CA14" s="246"/>
      <c r="CB14" s="246"/>
      <c r="CC14" s="246"/>
      <c r="CD14" s="246"/>
      <c r="CE14" s="246"/>
      <c r="CF14" s="246"/>
      <c r="CG14" s="246"/>
      <c r="CH14" s="246"/>
      <c r="CI14" s="246"/>
      <c r="CJ14" s="246"/>
      <c r="CK14" s="246"/>
      <c r="CL14" s="246"/>
      <c r="CM14" s="246"/>
      <c r="CN14" s="246"/>
      <c r="CO14" s="246"/>
      <c r="CP14" s="246"/>
      <c r="CQ14" s="246"/>
      <c r="CR14" s="246"/>
      <c r="CS14" s="246"/>
      <c r="CT14" s="246"/>
      <c r="CU14" s="246"/>
      <c r="CV14" s="246"/>
      <c r="CW14" s="246"/>
      <c r="CX14" s="246"/>
      <c r="CY14" s="246"/>
      <c r="CZ14" s="246"/>
      <c r="DA14" s="246"/>
      <c r="DB14" s="246"/>
      <c r="DC14" s="246"/>
      <c r="DD14" s="246"/>
      <c r="DE14" s="246"/>
      <c r="DF14" s="246"/>
      <c r="DG14" s="246"/>
      <c r="DH14" s="246"/>
      <c r="DI14" s="246"/>
      <c r="DJ14" s="246"/>
      <c r="DK14" s="246"/>
      <c r="DL14" s="246"/>
      <c r="DM14" s="246"/>
      <c r="DN14" s="246"/>
      <c r="DO14" s="246"/>
      <c r="DP14" s="246"/>
      <c r="DQ14" s="246"/>
      <c r="DR14" s="246"/>
      <c r="DS14" s="246"/>
      <c r="DT14" s="246"/>
      <c r="DU14" s="246"/>
      <c r="DV14" s="246"/>
      <c r="DW14" s="246"/>
      <c r="DX14" s="246"/>
      <c r="DY14" s="246"/>
      <c r="DZ14" s="246"/>
      <c r="EA14" s="246"/>
      <c r="EB14" s="246"/>
      <c r="EC14" s="246"/>
      <c r="ED14" s="246"/>
      <c r="EE14" s="246"/>
      <c r="EF14" s="246"/>
      <c r="EG14" s="246"/>
      <c r="EH14" s="246"/>
      <c r="EI14" s="246"/>
      <c r="EJ14" s="246"/>
      <c r="EK14" s="246"/>
      <c r="EL14" s="246"/>
      <c r="EM14" s="246"/>
      <c r="EN14" s="246"/>
      <c r="EO14" s="246"/>
      <c r="EP14" s="246"/>
      <c r="EQ14" s="246"/>
      <c r="ER14" s="246"/>
      <c r="ES14" s="246"/>
      <c r="ET14" s="246"/>
      <c r="EU14" s="246"/>
      <c r="EV14" s="246"/>
      <c r="EW14" s="246"/>
      <c r="EX14" s="246"/>
      <c r="EY14" s="246"/>
      <c r="EZ14" s="246"/>
      <c r="FA14" s="246"/>
      <c r="FB14" s="246"/>
      <c r="FC14" s="246"/>
      <c r="FD14" s="246"/>
      <c r="FE14" s="246"/>
      <c r="FF14" s="246"/>
      <c r="FG14" s="246"/>
      <c r="FH14" s="246"/>
      <c r="FI14" s="246"/>
      <c r="FJ14" s="246"/>
      <c r="FK14" s="246"/>
      <c r="FL14" s="246"/>
      <c r="FM14" s="246"/>
      <c r="FN14" s="246"/>
      <c r="FO14" s="246"/>
      <c r="FP14" s="246"/>
      <c r="FQ14" s="246"/>
      <c r="FR14" s="246"/>
      <c r="FS14" s="246"/>
      <c r="FT14" s="246"/>
      <c r="FU14" s="246"/>
      <c r="FV14" s="246"/>
      <c r="FW14" s="246"/>
      <c r="FX14" s="246"/>
      <c r="FY14" s="246"/>
      <c r="FZ14" s="246"/>
      <c r="GA14" s="246"/>
      <c r="GB14" s="246"/>
      <c r="GC14" s="246"/>
      <c r="GD14" s="246"/>
      <c r="GE14" s="246"/>
      <c r="GF14" s="246"/>
      <c r="GG14" s="246"/>
      <c r="GH14" s="246"/>
      <c r="GI14" s="246"/>
      <c r="GJ14" s="246"/>
      <c r="GK14" s="246"/>
      <c r="GL14" s="246"/>
      <c r="GM14" s="246"/>
      <c r="GN14" s="246"/>
      <c r="GO14" s="246"/>
      <c r="GP14" s="246"/>
      <c r="GQ14" s="246"/>
      <c r="GR14" s="246"/>
      <c r="GS14" s="246"/>
      <c r="GT14" s="246"/>
      <c r="GU14" s="246"/>
      <c r="GV14" s="246"/>
      <c r="GW14" s="246"/>
      <c r="GX14" s="246"/>
      <c r="GY14" s="246"/>
      <c r="GZ14" s="246"/>
      <c r="HA14" s="246"/>
      <c r="HB14" s="246"/>
      <c r="HC14" s="246"/>
      <c r="HD14" s="246"/>
      <c r="HE14" s="246"/>
      <c r="HF14" s="246"/>
      <c r="HG14" s="246"/>
      <c r="HH14" s="246"/>
      <c r="HI14" s="246"/>
      <c r="HJ14" s="246"/>
      <c r="HK14" s="246"/>
      <c r="HL14" s="246"/>
      <c r="HM14" s="246"/>
      <c r="HN14" s="246"/>
      <c r="HO14" s="246"/>
      <c r="HP14" s="246"/>
      <c r="HQ14" s="246"/>
      <c r="HR14" s="246"/>
      <c r="HS14" s="246"/>
      <c r="HT14" s="246"/>
      <c r="HU14" s="246"/>
      <c r="HV14" s="246"/>
      <c r="HW14" s="246"/>
      <c r="HX14" s="246"/>
      <c r="HY14" s="246"/>
      <c r="HZ14" s="246"/>
      <c r="IA14" s="246"/>
      <c r="IB14" s="246"/>
      <c r="IC14" s="246"/>
      <c r="ID14" s="246"/>
      <c r="IE14" s="246"/>
      <c r="IF14" s="246"/>
      <c r="IG14" s="246"/>
      <c r="IH14" s="246"/>
      <c r="II14" s="246"/>
      <c r="IJ14" s="246"/>
      <c r="IK14" s="246"/>
      <c r="IL14" s="246"/>
      <c r="IM14" s="246"/>
      <c r="IN14" s="246"/>
      <c r="IO14" s="246"/>
      <c r="IP14" s="246"/>
      <c r="IQ14" s="246"/>
      <c r="IR14" s="246"/>
      <c r="IS14" s="246"/>
      <c r="IT14" s="246"/>
      <c r="IU14" s="246"/>
      <c r="IV14" s="246"/>
      <c r="IW14" s="246"/>
      <c r="IX14" s="246"/>
      <c r="IY14" s="246"/>
      <c r="IZ14" s="246"/>
      <c r="JA14" s="246"/>
      <c r="JB14" s="246"/>
      <c r="JC14" s="246"/>
      <c r="JD14" s="246"/>
      <c r="JE14" s="246"/>
      <c r="JF14" s="246"/>
      <c r="JG14" s="246"/>
      <c r="JH14" s="246"/>
      <c r="JI14" s="246"/>
      <c r="JJ14" s="246"/>
      <c r="JK14" s="246"/>
      <c r="JL14" s="246"/>
      <c r="JM14" s="246"/>
      <c r="JN14" s="246"/>
      <c r="JO14" s="246"/>
      <c r="JP14" s="246"/>
      <c r="JQ14" s="246"/>
      <c r="JR14" s="246"/>
      <c r="JS14" s="246"/>
      <c r="JT14" s="246"/>
      <c r="JU14" s="246"/>
      <c r="JV14" s="246"/>
      <c r="JW14" s="246"/>
      <c r="JX14" s="246"/>
      <c r="JY14" s="246"/>
      <c r="JZ14" s="246"/>
      <c r="KA14" s="246"/>
      <c r="KB14" s="246"/>
      <c r="KC14" s="246"/>
      <c r="KD14" s="246"/>
      <c r="KE14" s="246"/>
      <c r="KF14" s="246"/>
      <c r="KG14" s="246"/>
      <c r="KH14" s="246"/>
      <c r="KI14" s="246"/>
      <c r="KJ14" s="246"/>
      <c r="KK14" s="246"/>
      <c r="KL14" s="246"/>
      <c r="KM14" s="246"/>
      <c r="KN14" s="246"/>
      <c r="KO14" s="246"/>
      <c r="KP14" s="246"/>
      <c r="KQ14" s="246"/>
      <c r="KR14" s="246"/>
      <c r="KS14" s="246"/>
      <c r="KT14" s="246"/>
      <c r="KU14" s="246"/>
      <c r="KV14" s="246"/>
      <c r="KW14" s="246"/>
      <c r="KX14" s="246"/>
      <c r="KY14" s="246"/>
      <c r="KZ14" s="246"/>
      <c r="LA14" s="246"/>
      <c r="LB14" s="246"/>
      <c r="LC14" s="246"/>
      <c r="LD14" s="246"/>
      <c r="LE14" s="246"/>
      <c r="LF14" s="246"/>
      <c r="LG14" s="246"/>
      <c r="LH14" s="246"/>
      <c r="LI14" s="246"/>
      <c r="LJ14" s="246"/>
      <c r="LK14" s="246"/>
      <c r="LL14" s="246"/>
      <c r="LM14" s="246"/>
      <c r="LN14" s="246"/>
      <c r="LO14" s="246"/>
      <c r="LP14" s="246"/>
      <c r="LQ14" s="246"/>
      <c r="LR14" s="246"/>
      <c r="LS14" s="246"/>
      <c r="LT14" s="246"/>
      <c r="LU14" s="246"/>
      <c r="LV14" s="246"/>
      <c r="LW14" s="246"/>
      <c r="LX14" s="246"/>
      <c r="LY14" s="246"/>
      <c r="LZ14" s="246"/>
      <c r="MA14" s="246"/>
      <c r="MB14" s="246"/>
      <c r="MC14" s="246"/>
      <c r="MD14" s="246"/>
      <c r="ME14" s="246"/>
      <c r="MF14" s="246"/>
      <c r="MG14" s="246"/>
      <c r="MH14" s="246"/>
      <c r="MI14" s="246"/>
      <c r="MJ14" s="246"/>
      <c r="MK14" s="246"/>
      <c r="ML14" s="246"/>
      <c r="MM14" s="246"/>
      <c r="MN14" s="246"/>
      <c r="MO14" s="246"/>
      <c r="MP14" s="246"/>
      <c r="MQ14" s="246"/>
      <c r="MR14" s="246"/>
      <c r="MS14" s="246"/>
      <c r="MT14" s="246"/>
      <c r="MU14" s="246"/>
      <c r="MV14" s="246"/>
      <c r="MW14" s="246"/>
      <c r="MX14" s="246"/>
      <c r="MY14" s="246"/>
      <c r="MZ14" s="246"/>
      <c r="NA14" s="246"/>
      <c r="NB14" s="246"/>
      <c r="NC14" s="246"/>
      <c r="ND14" s="246"/>
      <c r="NE14" s="246"/>
      <c r="NF14" s="246"/>
      <c r="NG14" s="246"/>
      <c r="NH14" s="246"/>
      <c r="NI14" s="246"/>
      <c r="NJ14" s="246"/>
      <c r="NK14" s="246"/>
      <c r="NL14" s="246"/>
      <c r="NM14" s="246"/>
      <c r="NN14" s="246"/>
      <c r="NO14" s="246"/>
      <c r="NP14" s="246"/>
      <c r="NQ14" s="246"/>
      <c r="NR14" s="246"/>
      <c r="NS14" s="246"/>
      <c r="NT14" s="246"/>
      <c r="NU14" s="246"/>
      <c r="NV14" s="246"/>
      <c r="NW14" s="246"/>
      <c r="NX14" s="246"/>
      <c r="NY14" s="246"/>
      <c r="NZ14" s="246"/>
      <c r="OA14" s="246"/>
      <c r="OB14" s="246"/>
      <c r="OC14" s="246"/>
      <c r="OD14" s="246"/>
      <c r="OE14" s="246"/>
      <c r="OF14" s="246"/>
      <c r="OG14" s="246"/>
      <c r="OH14" s="246"/>
      <c r="OI14" s="246"/>
      <c r="OJ14" s="246"/>
      <c r="OK14" s="246"/>
      <c r="OL14" s="246"/>
      <c r="OM14" s="246"/>
      <c r="ON14" s="246"/>
      <c r="OO14" s="246"/>
      <c r="OP14" s="246"/>
      <c r="OQ14" s="246"/>
      <c r="OR14" s="246"/>
      <c r="OS14" s="246"/>
      <c r="OT14" s="246"/>
      <c r="OU14" s="246"/>
      <c r="OV14" s="246"/>
      <c r="OW14" s="246"/>
      <c r="OX14" s="246"/>
      <c r="OY14" s="246"/>
      <c r="OZ14" s="246"/>
      <c r="PA14" s="246"/>
      <c r="PB14" s="246"/>
      <c r="PC14" s="246"/>
      <c r="PD14" s="246"/>
      <c r="PE14" s="246"/>
      <c r="PF14" s="246"/>
      <c r="PG14" s="246"/>
      <c r="PH14" s="246"/>
      <c r="PI14" s="246"/>
      <c r="PJ14" s="246"/>
      <c r="PK14" s="246"/>
      <c r="PL14" s="246"/>
      <c r="PM14" s="246"/>
      <c r="PN14" s="246"/>
      <c r="PO14" s="246"/>
      <c r="PP14" s="246"/>
      <c r="PQ14" s="246"/>
      <c r="PR14" s="246"/>
      <c r="PS14" s="246"/>
      <c r="PT14" s="246"/>
      <c r="PU14" s="246"/>
      <c r="PV14" s="246"/>
      <c r="PW14" s="246"/>
      <c r="PX14" s="246"/>
      <c r="PY14" s="246"/>
      <c r="PZ14" s="246"/>
      <c r="QA14" s="246"/>
      <c r="QB14" s="246"/>
      <c r="QC14" s="246"/>
      <c r="QD14" s="246"/>
      <c r="QE14" s="246"/>
      <c r="QF14" s="246"/>
      <c r="QG14" s="246"/>
      <c r="QH14" s="246"/>
      <c r="QI14" s="246"/>
      <c r="QJ14" s="246"/>
      <c r="QK14" s="246"/>
      <c r="QL14" s="246"/>
      <c r="QM14" s="246"/>
      <c r="QN14" s="246"/>
      <c r="QO14" s="246"/>
      <c r="QP14" s="246"/>
      <c r="QQ14" s="246"/>
      <c r="QR14" s="246"/>
      <c r="QS14" s="246"/>
      <c r="QT14" s="246"/>
      <c r="QU14" s="246"/>
      <c r="QV14" s="246"/>
      <c r="QW14" s="246"/>
      <c r="QX14" s="246"/>
      <c r="QY14" s="246"/>
      <c r="QZ14" s="246"/>
      <c r="RA14" s="246"/>
      <c r="RB14" s="246"/>
      <c r="RC14" s="246"/>
      <c r="RD14" s="246"/>
      <c r="RE14" s="246"/>
      <c r="RF14" s="246"/>
      <c r="RG14" s="246"/>
      <c r="RH14" s="246"/>
      <c r="RI14" s="246"/>
      <c r="RJ14" s="246"/>
      <c r="RK14" s="246"/>
      <c r="RL14" s="246"/>
      <c r="RM14" s="246"/>
      <c r="RN14" s="246"/>
      <c r="RO14" s="246"/>
      <c r="RP14" s="246"/>
      <c r="RQ14" s="246"/>
      <c r="RR14" s="246"/>
      <c r="RS14" s="246"/>
      <c r="RT14" s="246"/>
      <c r="RU14" s="246"/>
      <c r="RV14" s="246"/>
      <c r="RW14" s="246"/>
      <c r="RX14" s="246"/>
      <c r="RY14" s="246"/>
      <c r="RZ14" s="246"/>
      <c r="SA14" s="246"/>
      <c r="SB14" s="246"/>
      <c r="SC14" s="246"/>
      <c r="SD14" s="246"/>
      <c r="SE14" s="246"/>
      <c r="SF14" s="246"/>
      <c r="SG14" s="246"/>
      <c r="SH14" s="246"/>
      <c r="SI14" s="246"/>
      <c r="SJ14" s="246"/>
      <c r="SK14" s="246"/>
      <c r="SL14" s="246"/>
      <c r="SM14" s="246"/>
      <c r="SN14" s="246"/>
      <c r="SO14" s="246"/>
      <c r="SP14" s="246"/>
      <c r="SQ14" s="246"/>
      <c r="SR14" s="246"/>
      <c r="SS14" s="246"/>
      <c r="ST14" s="246"/>
      <c r="SU14" s="246"/>
      <c r="SV14" s="246"/>
      <c r="SW14" s="246"/>
      <c r="SX14" s="246"/>
      <c r="SY14" s="246"/>
      <c r="SZ14" s="246"/>
      <c r="TA14" s="246"/>
      <c r="TB14" s="246"/>
      <c r="TC14" s="246"/>
      <c r="TD14" s="246"/>
      <c r="TE14" s="246"/>
      <c r="TF14" s="246"/>
      <c r="TG14" s="246"/>
      <c r="TH14" s="246"/>
      <c r="TI14" s="246"/>
      <c r="TJ14" s="246"/>
      <c r="TK14" s="246"/>
      <c r="TL14" s="246"/>
      <c r="TM14" s="246"/>
      <c r="TN14" s="246"/>
      <c r="TO14" s="246"/>
      <c r="TP14" s="246"/>
      <c r="TQ14" s="246"/>
      <c r="TR14" s="246"/>
      <c r="TS14" s="246"/>
      <c r="TT14" s="246"/>
      <c r="TU14" s="246"/>
      <c r="TV14" s="246"/>
      <c r="TW14" s="246"/>
      <c r="TX14" s="246"/>
      <c r="TY14" s="246"/>
      <c r="TZ14" s="246"/>
      <c r="UA14" s="246"/>
      <c r="UB14" s="246"/>
      <c r="UC14" s="246"/>
      <c r="UD14" s="246"/>
      <c r="UE14" s="246"/>
      <c r="UF14" s="246"/>
      <c r="UG14" s="246"/>
      <c r="UH14" s="246"/>
      <c r="UI14" s="246"/>
      <c r="UJ14" s="246"/>
      <c r="UK14" s="246"/>
      <c r="UL14" s="246"/>
      <c r="UM14" s="246"/>
      <c r="UN14" s="246"/>
      <c r="UO14" s="246"/>
      <c r="UP14" s="246"/>
      <c r="UQ14" s="246"/>
      <c r="UR14" s="246"/>
      <c r="US14" s="246"/>
      <c r="UT14" s="246"/>
      <c r="UU14" s="246"/>
      <c r="UV14" s="246"/>
      <c r="UW14" s="246"/>
      <c r="UX14" s="246"/>
      <c r="UY14" s="246"/>
      <c r="UZ14" s="246"/>
      <c r="VA14" s="246"/>
      <c r="VB14" s="246"/>
      <c r="VC14" s="246"/>
      <c r="VD14" s="246"/>
      <c r="VE14" s="246"/>
      <c r="VF14" s="246"/>
      <c r="VG14" s="246"/>
      <c r="VH14" s="246"/>
      <c r="VI14" s="246"/>
      <c r="VJ14" s="246"/>
      <c r="VK14" s="246"/>
      <c r="VL14" s="246"/>
      <c r="VM14" s="246"/>
      <c r="VN14" s="246"/>
      <c r="VO14" s="246"/>
      <c r="VP14" s="246"/>
      <c r="VQ14" s="246"/>
      <c r="VR14" s="246"/>
      <c r="VS14" s="246"/>
      <c r="VT14" s="246"/>
      <c r="VU14" s="246"/>
      <c r="VV14" s="246"/>
      <c r="VW14" s="246"/>
      <c r="VX14" s="246"/>
      <c r="VY14" s="246"/>
      <c r="VZ14" s="246"/>
      <c r="WA14" s="246"/>
      <c r="WB14" s="246"/>
      <c r="WC14" s="246"/>
      <c r="WD14" s="246"/>
      <c r="WE14" s="246"/>
      <c r="WF14" s="246"/>
      <c r="WG14" s="246"/>
      <c r="WH14" s="246"/>
      <c r="WI14" s="246"/>
      <c r="WJ14" s="246"/>
      <c r="WK14" s="246"/>
      <c r="WL14" s="246"/>
      <c r="WM14" s="246"/>
      <c r="WN14" s="246"/>
      <c r="WO14" s="246"/>
      <c r="WP14" s="246"/>
      <c r="WQ14" s="246"/>
      <c r="WR14" s="246"/>
      <c r="WS14" s="246"/>
      <c r="WT14" s="246"/>
      <c r="WU14" s="246"/>
      <c r="WV14" s="246"/>
      <c r="WW14" s="246"/>
      <c r="WX14" s="246"/>
      <c r="WY14" s="246"/>
      <c r="WZ14" s="246"/>
      <c r="XA14" s="246"/>
      <c r="XB14" s="246"/>
      <c r="XC14" s="246"/>
      <c r="XD14" s="246"/>
      <c r="XE14" s="246"/>
      <c r="XF14" s="246"/>
      <c r="XG14" s="246"/>
      <c r="XH14" s="246"/>
      <c r="XI14" s="246"/>
      <c r="XJ14" s="246"/>
      <c r="XK14" s="246"/>
      <c r="XL14" s="246"/>
      <c r="XM14" s="246"/>
      <c r="XN14" s="246"/>
      <c r="XO14" s="246"/>
      <c r="XP14" s="246"/>
      <c r="XQ14" s="246"/>
      <c r="XR14" s="246"/>
      <c r="XS14" s="246"/>
      <c r="XT14" s="246"/>
      <c r="XU14" s="246"/>
      <c r="XV14" s="246"/>
      <c r="XW14" s="246"/>
      <c r="XX14" s="246"/>
      <c r="XY14" s="246"/>
      <c r="XZ14" s="246"/>
      <c r="YA14" s="246"/>
      <c r="YB14" s="246"/>
      <c r="YC14" s="246"/>
      <c r="YD14" s="246"/>
      <c r="YE14" s="246"/>
      <c r="YF14" s="246"/>
      <c r="YG14" s="246"/>
      <c r="YH14" s="246"/>
      <c r="YI14" s="246"/>
      <c r="YJ14" s="246"/>
      <c r="YK14" s="246"/>
      <c r="YL14" s="246"/>
      <c r="YM14" s="246"/>
      <c r="YN14" s="246"/>
      <c r="YO14" s="246"/>
      <c r="YP14" s="246"/>
      <c r="YQ14" s="246"/>
      <c r="YR14" s="246"/>
      <c r="YS14" s="246"/>
      <c r="YT14" s="246"/>
      <c r="YU14" s="246"/>
      <c r="YV14" s="246"/>
      <c r="YW14" s="246"/>
      <c r="YX14" s="246"/>
      <c r="YY14" s="246"/>
      <c r="YZ14" s="246"/>
      <c r="ZA14" s="246"/>
      <c r="ZB14" s="246"/>
      <c r="ZC14" s="246"/>
      <c r="ZD14" s="246"/>
      <c r="ZE14" s="246"/>
      <c r="ZF14" s="246"/>
      <c r="ZG14" s="246"/>
      <c r="ZH14" s="246"/>
      <c r="ZI14" s="246"/>
      <c r="ZJ14" s="246"/>
      <c r="ZK14" s="246"/>
      <c r="ZL14" s="246"/>
      <c r="ZM14" s="246"/>
      <c r="ZN14" s="246"/>
      <c r="ZO14" s="246"/>
      <c r="ZP14" s="246"/>
      <c r="ZQ14" s="246"/>
      <c r="ZR14" s="246"/>
      <c r="ZS14" s="246"/>
      <c r="ZT14" s="246"/>
      <c r="ZU14" s="246"/>
      <c r="ZV14" s="246"/>
      <c r="ZW14" s="246"/>
      <c r="ZX14" s="246"/>
      <c r="ZY14" s="246"/>
      <c r="ZZ14" s="246"/>
      <c r="AAA14" s="246"/>
      <c r="AAB14" s="246"/>
      <c r="AAC14" s="246"/>
      <c r="AAD14" s="246"/>
      <c r="AAE14" s="246"/>
      <c r="AAF14" s="246"/>
      <c r="AAG14" s="246"/>
      <c r="AAH14" s="246"/>
      <c r="AAI14" s="246"/>
      <c r="AAJ14" s="246"/>
      <c r="AAK14" s="246"/>
      <c r="AAL14" s="246"/>
      <c r="AAM14" s="246"/>
      <c r="AAN14" s="246"/>
      <c r="AAO14" s="246"/>
      <c r="AAP14" s="246"/>
      <c r="AAQ14" s="246"/>
      <c r="AAR14" s="246"/>
      <c r="AAS14" s="246"/>
      <c r="AAT14" s="246"/>
      <c r="AAU14" s="246"/>
      <c r="AAV14" s="246"/>
      <c r="AAW14" s="246"/>
      <c r="AAX14" s="246"/>
      <c r="AAY14" s="246"/>
      <c r="AAZ14" s="246"/>
      <c r="ABA14" s="246"/>
      <c r="ABB14" s="246"/>
      <c r="ABC14" s="246"/>
      <c r="ABD14" s="246"/>
      <c r="ABE14" s="246"/>
      <c r="ABF14" s="246"/>
      <c r="ABG14" s="246"/>
      <c r="ABH14" s="246"/>
      <c r="ABI14" s="246"/>
      <c r="ABJ14" s="246"/>
      <c r="ABK14" s="246"/>
      <c r="ABL14" s="246"/>
      <c r="ABM14" s="246"/>
      <c r="ABN14" s="246"/>
      <c r="ABO14" s="246"/>
      <c r="ABP14" s="246"/>
      <c r="ABQ14" s="246"/>
      <c r="ABR14" s="246"/>
      <c r="ABS14" s="246"/>
      <c r="ABT14" s="246"/>
      <c r="ABU14" s="246"/>
      <c r="ABV14" s="246"/>
      <c r="ABW14" s="246"/>
      <c r="ABX14" s="246"/>
      <c r="ABY14" s="246"/>
      <c r="ABZ14" s="246"/>
      <c r="ACA14" s="246"/>
      <c r="ACB14" s="246"/>
      <c r="ACC14" s="246"/>
      <c r="ACD14" s="246"/>
      <c r="ACE14" s="246"/>
      <c r="ACF14" s="246"/>
      <c r="ACG14" s="246"/>
      <c r="ACH14" s="246"/>
      <c r="ACI14" s="246"/>
      <c r="ACJ14" s="246"/>
      <c r="ACK14" s="246"/>
      <c r="ACL14" s="246"/>
      <c r="ACM14" s="246"/>
      <c r="ACN14" s="246"/>
      <c r="ACO14" s="246"/>
      <c r="ACP14" s="246"/>
      <c r="ACQ14" s="246"/>
      <c r="ACR14" s="246"/>
      <c r="ACS14" s="246"/>
      <c r="ACT14" s="246"/>
      <c r="ACU14" s="246"/>
      <c r="ACV14" s="246"/>
      <c r="ACW14" s="246"/>
      <c r="ACX14" s="246"/>
      <c r="ACY14" s="246"/>
      <c r="ACZ14" s="246"/>
      <c r="ADA14" s="246"/>
      <c r="ADB14" s="246"/>
      <c r="ADC14" s="246"/>
      <c r="ADD14" s="246"/>
      <c r="ADE14" s="246"/>
      <c r="ADF14" s="246"/>
      <c r="ADG14" s="246"/>
      <c r="ADH14" s="246"/>
      <c r="ADI14" s="246"/>
      <c r="ADJ14" s="246"/>
      <c r="ADK14" s="246"/>
      <c r="ADL14" s="246"/>
      <c r="ADM14" s="246"/>
      <c r="ADN14" s="246"/>
      <c r="ADO14" s="246"/>
      <c r="ADP14" s="246"/>
      <c r="ADQ14" s="246"/>
      <c r="ADR14" s="246"/>
      <c r="ADS14" s="246"/>
      <c r="ADT14" s="246"/>
      <c r="ADU14" s="246"/>
      <c r="ADV14" s="246"/>
      <c r="ADW14" s="246"/>
      <c r="ADX14" s="246"/>
      <c r="ADY14" s="246"/>
      <c r="ADZ14" s="246"/>
      <c r="AEA14" s="246"/>
      <c r="AEB14" s="246"/>
      <c r="AEC14" s="246"/>
      <c r="AED14" s="246"/>
      <c r="AEE14" s="246"/>
      <c r="AEF14" s="246"/>
      <c r="AEG14" s="246"/>
      <c r="AEH14" s="246"/>
      <c r="AEI14" s="246"/>
      <c r="AEJ14" s="246"/>
      <c r="AEK14" s="246"/>
      <c r="AEL14" s="246"/>
      <c r="AEM14" s="246"/>
      <c r="AEN14" s="246"/>
      <c r="AEO14" s="246"/>
      <c r="AEP14" s="246"/>
      <c r="AEQ14" s="246"/>
      <c r="AER14" s="246"/>
      <c r="AES14" s="246"/>
      <c r="AET14" s="246"/>
      <c r="AEU14" s="246"/>
      <c r="AEV14" s="246"/>
      <c r="AEW14" s="246"/>
      <c r="AEX14" s="246"/>
      <c r="AEY14" s="246"/>
      <c r="AEZ14" s="246"/>
      <c r="AFA14" s="246"/>
      <c r="AFB14" s="246"/>
      <c r="AFC14" s="246"/>
      <c r="AFD14" s="246"/>
      <c r="AFE14" s="246"/>
      <c r="AFF14" s="246"/>
      <c r="AFG14" s="246"/>
      <c r="AFH14" s="246"/>
      <c r="AFI14" s="246"/>
      <c r="AFJ14" s="246"/>
      <c r="AFK14" s="246"/>
      <c r="AFL14" s="246"/>
      <c r="AFM14" s="246"/>
      <c r="AFN14" s="246"/>
      <c r="AFO14" s="246"/>
      <c r="AFP14" s="246"/>
      <c r="AFQ14" s="246"/>
      <c r="AFR14" s="246"/>
      <c r="AFS14" s="246"/>
      <c r="AFT14" s="246"/>
      <c r="AFU14" s="246"/>
      <c r="AFV14" s="246"/>
      <c r="AFW14" s="246"/>
      <c r="AFX14" s="246"/>
      <c r="AFY14" s="246"/>
      <c r="AFZ14" s="246"/>
      <c r="AGA14" s="246"/>
      <c r="AGB14" s="246"/>
    </row>
    <row r="15" spans="1:860" s="252" customFormat="1" ht="14.25" customHeight="1" x14ac:dyDescent="0.25">
      <c r="A15" s="367">
        <v>9710</v>
      </c>
      <c r="B15" s="167" t="s">
        <v>470</v>
      </c>
      <c r="C15" s="304">
        <v>45811</v>
      </c>
      <c r="D15" s="307" t="s">
        <v>51</v>
      </c>
      <c r="E15" s="313" t="s">
        <v>471</v>
      </c>
      <c r="F15" s="316" t="s">
        <v>51</v>
      </c>
      <c r="G15" s="316" t="s">
        <v>51</v>
      </c>
      <c r="H15" s="304"/>
      <c r="I15" s="211"/>
      <c r="J15" s="152" t="s">
        <v>137</v>
      </c>
      <c r="K15" s="144" t="s">
        <v>540</v>
      </c>
      <c r="L15" s="144" t="s">
        <v>541</v>
      </c>
      <c r="M15" s="207" t="str">
        <f t="shared" si="6"/>
        <v>NEED FORM</v>
      </c>
      <c r="N15" s="208">
        <v>9708675958</v>
      </c>
      <c r="O15" s="144"/>
      <c r="P15" s="21" t="s">
        <v>542</v>
      </c>
      <c r="Q15" s="144"/>
      <c r="R15" s="152"/>
      <c r="S15" s="144" t="s">
        <v>543</v>
      </c>
      <c r="T15" s="144" t="s">
        <v>544</v>
      </c>
      <c r="U15" s="152"/>
      <c r="V15" s="152"/>
      <c r="W15" s="152"/>
      <c r="X15" s="152"/>
      <c r="Y15" s="209"/>
      <c r="Z15" s="209"/>
      <c r="AA15" s="210"/>
      <c r="AB15" s="171">
        <f t="shared" si="4"/>
        <v>0</v>
      </c>
      <c r="AC15" s="144"/>
      <c r="AD15" s="284"/>
      <c r="AE15" s="304"/>
      <c r="AF15" s="304"/>
      <c r="AG15" s="304"/>
      <c r="AH15" s="304"/>
      <c r="AI15" s="355"/>
      <c r="AJ15" s="206"/>
      <c r="AK15" s="144" t="s">
        <v>422</v>
      </c>
      <c r="AL15" s="246"/>
      <c r="AM15" s="290"/>
      <c r="AN15" s="290"/>
      <c r="AO15" s="321"/>
      <c r="AP15" s="321">
        <f t="shared" si="5"/>
        <v>23</v>
      </c>
      <c r="AQ15" s="246"/>
      <c r="AR15" s="246"/>
      <c r="AS15" s="246"/>
      <c r="AT15" s="246"/>
      <c r="AU15" s="246"/>
      <c r="AV15" s="246"/>
      <c r="AW15" s="246"/>
      <c r="AX15" s="246"/>
      <c r="AY15" s="246"/>
      <c r="AZ15" s="246"/>
      <c r="BA15" s="246"/>
      <c r="BB15" s="246"/>
      <c r="BC15" s="246"/>
      <c r="BD15" s="246"/>
      <c r="BE15" s="246"/>
      <c r="BF15" s="246"/>
      <c r="BG15" s="246"/>
      <c r="BH15" s="246"/>
      <c r="BI15" s="246"/>
      <c r="BJ15" s="246"/>
      <c r="BK15" s="246"/>
      <c r="BL15" s="246"/>
      <c r="BM15" s="246"/>
      <c r="BN15" s="246"/>
      <c r="BO15" s="246"/>
      <c r="BP15" s="246"/>
      <c r="BQ15" s="246"/>
      <c r="BR15" s="246"/>
      <c r="BS15" s="246"/>
      <c r="BT15" s="246"/>
      <c r="BU15" s="246"/>
      <c r="BV15" s="246"/>
      <c r="BW15" s="246"/>
      <c r="BX15" s="246"/>
      <c r="BY15" s="246"/>
      <c r="BZ15" s="246"/>
      <c r="CA15" s="246"/>
      <c r="CB15" s="246"/>
      <c r="CC15" s="246"/>
      <c r="CD15" s="246"/>
      <c r="CE15" s="246"/>
      <c r="CF15" s="246"/>
      <c r="CG15" s="246"/>
      <c r="CH15" s="246"/>
      <c r="CI15" s="246"/>
      <c r="CJ15" s="246"/>
      <c r="CK15" s="246"/>
      <c r="CL15" s="246"/>
      <c r="CM15" s="246"/>
      <c r="CN15" s="246"/>
      <c r="CO15" s="246"/>
      <c r="CP15" s="246"/>
      <c r="CQ15" s="246"/>
      <c r="CR15" s="246"/>
      <c r="CS15" s="246"/>
      <c r="CT15" s="246"/>
      <c r="CU15" s="246"/>
      <c r="CV15" s="246"/>
      <c r="CW15" s="246"/>
      <c r="CX15" s="246"/>
      <c r="CY15" s="246"/>
      <c r="CZ15" s="246"/>
      <c r="DA15" s="246"/>
      <c r="DB15" s="246"/>
      <c r="DC15" s="246"/>
      <c r="DD15" s="246"/>
      <c r="DE15" s="246"/>
      <c r="DF15" s="246"/>
      <c r="DG15" s="246"/>
      <c r="DH15" s="246"/>
      <c r="DI15" s="246"/>
      <c r="DJ15" s="246"/>
      <c r="DK15" s="246"/>
      <c r="DL15" s="246"/>
      <c r="DM15" s="246"/>
      <c r="DN15" s="246"/>
      <c r="DO15" s="246"/>
      <c r="DP15" s="246"/>
      <c r="DQ15" s="246"/>
      <c r="DR15" s="246"/>
      <c r="DS15" s="246"/>
      <c r="DT15" s="246"/>
      <c r="DU15" s="246"/>
      <c r="DV15" s="246"/>
      <c r="DW15" s="246"/>
      <c r="DX15" s="246"/>
      <c r="DY15" s="246"/>
      <c r="DZ15" s="246"/>
      <c r="EA15" s="246"/>
      <c r="EB15" s="246"/>
      <c r="EC15" s="246"/>
      <c r="ED15" s="246"/>
      <c r="EE15" s="246"/>
      <c r="EF15" s="246"/>
      <c r="EG15" s="246"/>
      <c r="EH15" s="246"/>
      <c r="EI15" s="246"/>
      <c r="EJ15" s="246"/>
      <c r="EK15" s="246"/>
      <c r="EL15" s="246"/>
      <c r="EM15" s="246"/>
      <c r="EN15" s="246"/>
      <c r="EO15" s="246"/>
      <c r="EP15" s="246"/>
      <c r="EQ15" s="246"/>
      <c r="ER15" s="246"/>
      <c r="ES15" s="246"/>
      <c r="ET15" s="246"/>
      <c r="EU15" s="246"/>
      <c r="EV15" s="246"/>
      <c r="EW15" s="246"/>
      <c r="EX15" s="246"/>
      <c r="EY15" s="246"/>
      <c r="EZ15" s="246"/>
      <c r="FA15" s="246"/>
      <c r="FB15" s="246"/>
      <c r="FC15" s="246"/>
      <c r="FD15" s="246"/>
      <c r="FE15" s="246"/>
      <c r="FF15" s="246"/>
      <c r="FG15" s="246"/>
      <c r="FH15" s="246"/>
      <c r="FI15" s="246"/>
      <c r="FJ15" s="246"/>
      <c r="FK15" s="246"/>
      <c r="FL15" s="246"/>
      <c r="FM15" s="246"/>
      <c r="FN15" s="246"/>
      <c r="FO15" s="246"/>
      <c r="FP15" s="246"/>
      <c r="FQ15" s="246"/>
      <c r="FR15" s="246"/>
      <c r="FS15" s="246"/>
      <c r="FT15" s="246"/>
      <c r="FU15" s="246"/>
      <c r="FV15" s="246"/>
      <c r="FW15" s="246"/>
      <c r="FX15" s="246"/>
      <c r="FY15" s="246"/>
      <c r="FZ15" s="246"/>
      <c r="GA15" s="246"/>
      <c r="GB15" s="246"/>
      <c r="GC15" s="246"/>
      <c r="GD15" s="246"/>
      <c r="GE15" s="246"/>
      <c r="GF15" s="246"/>
      <c r="GG15" s="246"/>
      <c r="GH15" s="246"/>
      <c r="GI15" s="246"/>
      <c r="GJ15" s="246"/>
      <c r="GK15" s="246"/>
      <c r="GL15" s="246"/>
      <c r="GM15" s="246"/>
      <c r="GN15" s="246"/>
      <c r="GO15" s="246"/>
      <c r="GP15" s="246"/>
      <c r="GQ15" s="246"/>
      <c r="GR15" s="246"/>
      <c r="GS15" s="246"/>
      <c r="GT15" s="246"/>
      <c r="GU15" s="246"/>
      <c r="GV15" s="246"/>
      <c r="GW15" s="246"/>
      <c r="GX15" s="246"/>
      <c r="GY15" s="246"/>
      <c r="GZ15" s="246"/>
      <c r="HA15" s="246"/>
      <c r="HB15" s="246"/>
      <c r="HC15" s="246"/>
      <c r="HD15" s="246"/>
      <c r="HE15" s="246"/>
      <c r="HF15" s="246"/>
      <c r="HG15" s="246"/>
      <c r="HH15" s="246"/>
      <c r="HI15" s="246"/>
      <c r="HJ15" s="246"/>
      <c r="HK15" s="246"/>
      <c r="HL15" s="246"/>
      <c r="HM15" s="246"/>
      <c r="HN15" s="246"/>
      <c r="HO15" s="246"/>
      <c r="HP15" s="246"/>
      <c r="HQ15" s="246"/>
      <c r="HR15" s="246"/>
      <c r="HS15" s="246"/>
      <c r="HT15" s="246"/>
      <c r="HU15" s="246"/>
      <c r="HV15" s="246"/>
      <c r="HW15" s="246"/>
      <c r="HX15" s="246"/>
      <c r="HY15" s="246"/>
      <c r="HZ15" s="246"/>
      <c r="IA15" s="246"/>
      <c r="IB15" s="246"/>
      <c r="IC15" s="246"/>
      <c r="ID15" s="246"/>
      <c r="IE15" s="246"/>
      <c r="IF15" s="246"/>
      <c r="IG15" s="246"/>
      <c r="IH15" s="246"/>
      <c r="II15" s="246"/>
      <c r="IJ15" s="246"/>
      <c r="IK15" s="246"/>
      <c r="IL15" s="246"/>
      <c r="IM15" s="246"/>
      <c r="IN15" s="246"/>
      <c r="IO15" s="246"/>
      <c r="IP15" s="246"/>
      <c r="IQ15" s="246"/>
      <c r="IR15" s="246"/>
      <c r="IS15" s="246"/>
      <c r="IT15" s="246"/>
      <c r="IU15" s="246"/>
      <c r="IV15" s="246"/>
      <c r="IW15" s="246"/>
      <c r="IX15" s="246"/>
      <c r="IY15" s="246"/>
      <c r="IZ15" s="246"/>
      <c r="JA15" s="246"/>
      <c r="JB15" s="246"/>
      <c r="JC15" s="246"/>
      <c r="JD15" s="246"/>
      <c r="JE15" s="246"/>
      <c r="JF15" s="246"/>
      <c r="JG15" s="246"/>
      <c r="JH15" s="246"/>
      <c r="JI15" s="246"/>
      <c r="JJ15" s="246"/>
      <c r="JK15" s="246"/>
      <c r="JL15" s="246"/>
      <c r="JM15" s="246"/>
      <c r="JN15" s="246"/>
      <c r="JO15" s="246"/>
      <c r="JP15" s="246"/>
      <c r="JQ15" s="246"/>
      <c r="JR15" s="246"/>
      <c r="JS15" s="246"/>
      <c r="JT15" s="246"/>
      <c r="JU15" s="246"/>
      <c r="JV15" s="246"/>
      <c r="JW15" s="246"/>
      <c r="JX15" s="246"/>
      <c r="JY15" s="246"/>
      <c r="JZ15" s="246"/>
      <c r="KA15" s="246"/>
      <c r="KB15" s="246"/>
      <c r="KC15" s="246"/>
      <c r="KD15" s="246"/>
      <c r="KE15" s="246"/>
      <c r="KF15" s="246"/>
      <c r="KG15" s="246"/>
      <c r="KH15" s="246"/>
      <c r="KI15" s="246"/>
      <c r="KJ15" s="246"/>
      <c r="KK15" s="246"/>
      <c r="KL15" s="246"/>
      <c r="KM15" s="246"/>
      <c r="KN15" s="246"/>
      <c r="KO15" s="246"/>
      <c r="KP15" s="246"/>
      <c r="KQ15" s="246"/>
      <c r="KR15" s="246"/>
      <c r="KS15" s="246"/>
      <c r="KT15" s="246"/>
      <c r="KU15" s="246"/>
      <c r="KV15" s="246"/>
      <c r="KW15" s="246"/>
      <c r="KX15" s="246"/>
      <c r="KY15" s="246"/>
      <c r="KZ15" s="246"/>
      <c r="LA15" s="246"/>
      <c r="LB15" s="246"/>
      <c r="LC15" s="246"/>
      <c r="LD15" s="246"/>
      <c r="LE15" s="246"/>
      <c r="LF15" s="246"/>
      <c r="LG15" s="246"/>
      <c r="LH15" s="246"/>
      <c r="LI15" s="246"/>
      <c r="LJ15" s="246"/>
      <c r="LK15" s="246"/>
      <c r="LL15" s="246"/>
      <c r="LM15" s="246"/>
      <c r="LN15" s="246"/>
      <c r="LO15" s="246"/>
      <c r="LP15" s="246"/>
      <c r="LQ15" s="246"/>
      <c r="LR15" s="246"/>
      <c r="LS15" s="246"/>
      <c r="LT15" s="246"/>
      <c r="LU15" s="246"/>
      <c r="LV15" s="246"/>
      <c r="LW15" s="246"/>
      <c r="LX15" s="246"/>
      <c r="LY15" s="246"/>
      <c r="LZ15" s="246"/>
      <c r="MA15" s="246"/>
      <c r="MB15" s="246"/>
      <c r="MC15" s="246"/>
      <c r="MD15" s="246"/>
      <c r="ME15" s="246"/>
      <c r="MF15" s="246"/>
      <c r="MG15" s="246"/>
      <c r="MH15" s="246"/>
      <c r="MI15" s="246"/>
      <c r="MJ15" s="246"/>
      <c r="MK15" s="246"/>
      <c r="ML15" s="246"/>
      <c r="MM15" s="246"/>
      <c r="MN15" s="246"/>
      <c r="MO15" s="246"/>
      <c r="MP15" s="246"/>
      <c r="MQ15" s="246"/>
      <c r="MR15" s="246"/>
      <c r="MS15" s="246"/>
      <c r="MT15" s="246"/>
      <c r="MU15" s="246"/>
      <c r="MV15" s="246"/>
      <c r="MW15" s="246"/>
      <c r="MX15" s="246"/>
      <c r="MY15" s="246"/>
      <c r="MZ15" s="246"/>
      <c r="NA15" s="246"/>
      <c r="NB15" s="246"/>
      <c r="NC15" s="246"/>
      <c r="ND15" s="246"/>
      <c r="NE15" s="246"/>
      <c r="NF15" s="246"/>
      <c r="NG15" s="246"/>
      <c r="NH15" s="246"/>
      <c r="NI15" s="246"/>
      <c r="NJ15" s="246"/>
      <c r="NK15" s="246"/>
      <c r="NL15" s="246"/>
      <c r="NM15" s="246"/>
      <c r="NN15" s="246"/>
      <c r="NO15" s="246"/>
      <c r="NP15" s="246"/>
      <c r="NQ15" s="246"/>
      <c r="NR15" s="246"/>
      <c r="NS15" s="246"/>
      <c r="NT15" s="246"/>
      <c r="NU15" s="246"/>
      <c r="NV15" s="246"/>
      <c r="NW15" s="246"/>
      <c r="NX15" s="246"/>
      <c r="NY15" s="246"/>
      <c r="NZ15" s="246"/>
      <c r="OA15" s="246"/>
      <c r="OB15" s="246"/>
      <c r="OC15" s="246"/>
      <c r="OD15" s="246"/>
      <c r="OE15" s="246"/>
      <c r="OF15" s="246"/>
      <c r="OG15" s="246"/>
      <c r="OH15" s="246"/>
      <c r="OI15" s="246"/>
      <c r="OJ15" s="246"/>
      <c r="OK15" s="246"/>
      <c r="OL15" s="246"/>
      <c r="OM15" s="246"/>
      <c r="ON15" s="246"/>
      <c r="OO15" s="246"/>
      <c r="OP15" s="246"/>
      <c r="OQ15" s="246"/>
      <c r="OR15" s="246"/>
      <c r="OS15" s="246"/>
      <c r="OT15" s="246"/>
      <c r="OU15" s="246"/>
      <c r="OV15" s="246"/>
      <c r="OW15" s="246"/>
      <c r="OX15" s="246"/>
      <c r="OY15" s="246"/>
      <c r="OZ15" s="246"/>
      <c r="PA15" s="246"/>
      <c r="PB15" s="246"/>
      <c r="PC15" s="246"/>
      <c r="PD15" s="246"/>
      <c r="PE15" s="246"/>
      <c r="PF15" s="246"/>
      <c r="PG15" s="246"/>
      <c r="PH15" s="246"/>
      <c r="PI15" s="246"/>
      <c r="PJ15" s="246"/>
      <c r="PK15" s="246"/>
      <c r="PL15" s="246"/>
      <c r="PM15" s="246"/>
      <c r="PN15" s="246"/>
      <c r="PO15" s="246"/>
      <c r="PP15" s="246"/>
      <c r="PQ15" s="246"/>
      <c r="PR15" s="246"/>
      <c r="PS15" s="246"/>
      <c r="PT15" s="246"/>
      <c r="PU15" s="246"/>
      <c r="PV15" s="246"/>
      <c r="PW15" s="246"/>
      <c r="PX15" s="246"/>
      <c r="PY15" s="246"/>
      <c r="PZ15" s="246"/>
      <c r="QA15" s="246"/>
      <c r="QB15" s="246"/>
      <c r="QC15" s="246"/>
      <c r="QD15" s="246"/>
      <c r="QE15" s="246"/>
      <c r="QF15" s="246"/>
      <c r="QG15" s="246"/>
      <c r="QH15" s="246"/>
      <c r="QI15" s="246"/>
      <c r="QJ15" s="246"/>
      <c r="QK15" s="246"/>
      <c r="QL15" s="246"/>
      <c r="QM15" s="246"/>
      <c r="QN15" s="246"/>
      <c r="QO15" s="246"/>
      <c r="QP15" s="246"/>
      <c r="QQ15" s="246"/>
      <c r="QR15" s="246"/>
      <c r="QS15" s="246"/>
      <c r="QT15" s="246"/>
      <c r="QU15" s="246"/>
      <c r="QV15" s="246"/>
      <c r="QW15" s="246"/>
      <c r="QX15" s="246"/>
      <c r="QY15" s="246"/>
      <c r="QZ15" s="246"/>
      <c r="RA15" s="246"/>
      <c r="RB15" s="246"/>
      <c r="RC15" s="246"/>
      <c r="RD15" s="246"/>
      <c r="RE15" s="246"/>
      <c r="RF15" s="246"/>
      <c r="RG15" s="246"/>
      <c r="RH15" s="246"/>
      <c r="RI15" s="246"/>
      <c r="RJ15" s="246"/>
      <c r="RK15" s="246"/>
      <c r="RL15" s="246"/>
      <c r="RM15" s="246"/>
      <c r="RN15" s="246"/>
      <c r="RO15" s="246"/>
      <c r="RP15" s="246"/>
      <c r="RQ15" s="246"/>
      <c r="RR15" s="246"/>
      <c r="RS15" s="246"/>
      <c r="RT15" s="246"/>
      <c r="RU15" s="246"/>
      <c r="RV15" s="246"/>
      <c r="RW15" s="246"/>
      <c r="RX15" s="246"/>
      <c r="RY15" s="246"/>
      <c r="RZ15" s="246"/>
      <c r="SA15" s="246"/>
      <c r="SB15" s="246"/>
      <c r="SC15" s="246"/>
      <c r="SD15" s="246"/>
      <c r="SE15" s="246"/>
      <c r="SF15" s="246"/>
      <c r="SG15" s="246"/>
      <c r="SH15" s="246"/>
      <c r="SI15" s="246"/>
      <c r="SJ15" s="246"/>
      <c r="SK15" s="246"/>
      <c r="SL15" s="246"/>
      <c r="SM15" s="246"/>
      <c r="SN15" s="246"/>
      <c r="SO15" s="246"/>
      <c r="SP15" s="246"/>
      <c r="SQ15" s="246"/>
      <c r="SR15" s="246"/>
      <c r="SS15" s="246"/>
      <c r="ST15" s="246"/>
      <c r="SU15" s="246"/>
      <c r="SV15" s="246"/>
      <c r="SW15" s="246"/>
      <c r="SX15" s="246"/>
      <c r="SY15" s="246"/>
      <c r="SZ15" s="246"/>
      <c r="TA15" s="246"/>
      <c r="TB15" s="246"/>
      <c r="TC15" s="246"/>
      <c r="TD15" s="246"/>
      <c r="TE15" s="246"/>
      <c r="TF15" s="246"/>
      <c r="TG15" s="246"/>
      <c r="TH15" s="246"/>
      <c r="TI15" s="246"/>
      <c r="TJ15" s="246"/>
      <c r="TK15" s="246"/>
      <c r="TL15" s="246"/>
      <c r="TM15" s="246"/>
      <c r="TN15" s="246"/>
      <c r="TO15" s="246"/>
      <c r="TP15" s="246"/>
      <c r="TQ15" s="246"/>
      <c r="TR15" s="246"/>
      <c r="TS15" s="246"/>
      <c r="TT15" s="246"/>
      <c r="TU15" s="246"/>
      <c r="TV15" s="246"/>
      <c r="TW15" s="246"/>
      <c r="TX15" s="246"/>
      <c r="TY15" s="246"/>
      <c r="TZ15" s="246"/>
      <c r="UA15" s="246"/>
      <c r="UB15" s="246"/>
      <c r="UC15" s="246"/>
      <c r="UD15" s="246"/>
      <c r="UE15" s="246"/>
      <c r="UF15" s="246"/>
      <c r="UG15" s="246"/>
      <c r="UH15" s="246"/>
      <c r="UI15" s="246"/>
      <c r="UJ15" s="246"/>
      <c r="UK15" s="246"/>
      <c r="UL15" s="246"/>
      <c r="UM15" s="246"/>
      <c r="UN15" s="246"/>
      <c r="UO15" s="246"/>
      <c r="UP15" s="246"/>
      <c r="UQ15" s="246"/>
      <c r="UR15" s="246"/>
      <c r="US15" s="246"/>
      <c r="UT15" s="246"/>
      <c r="UU15" s="246"/>
      <c r="UV15" s="246"/>
      <c r="UW15" s="246"/>
      <c r="UX15" s="246"/>
      <c r="UY15" s="246"/>
      <c r="UZ15" s="246"/>
      <c r="VA15" s="246"/>
      <c r="VB15" s="246"/>
      <c r="VC15" s="246"/>
      <c r="VD15" s="246"/>
      <c r="VE15" s="246"/>
      <c r="VF15" s="246"/>
      <c r="VG15" s="246"/>
      <c r="VH15" s="246"/>
      <c r="VI15" s="246"/>
      <c r="VJ15" s="246"/>
      <c r="VK15" s="246"/>
      <c r="VL15" s="246"/>
      <c r="VM15" s="246"/>
      <c r="VN15" s="246"/>
      <c r="VO15" s="246"/>
      <c r="VP15" s="246"/>
      <c r="VQ15" s="246"/>
      <c r="VR15" s="246"/>
      <c r="VS15" s="246"/>
      <c r="VT15" s="246"/>
      <c r="VU15" s="246"/>
      <c r="VV15" s="246"/>
      <c r="VW15" s="246"/>
      <c r="VX15" s="246"/>
      <c r="VY15" s="246"/>
      <c r="VZ15" s="246"/>
      <c r="WA15" s="246"/>
      <c r="WB15" s="246"/>
      <c r="WC15" s="246"/>
      <c r="WD15" s="246"/>
      <c r="WE15" s="246"/>
      <c r="WF15" s="246"/>
      <c r="WG15" s="246"/>
      <c r="WH15" s="246"/>
      <c r="WI15" s="246"/>
      <c r="WJ15" s="246"/>
      <c r="WK15" s="246"/>
      <c r="WL15" s="246"/>
      <c r="WM15" s="246"/>
      <c r="WN15" s="246"/>
      <c r="WO15" s="246"/>
      <c r="WP15" s="246"/>
      <c r="WQ15" s="246"/>
      <c r="WR15" s="246"/>
      <c r="WS15" s="246"/>
      <c r="WT15" s="246"/>
      <c r="WU15" s="246"/>
      <c r="WV15" s="246"/>
      <c r="WW15" s="246"/>
      <c r="WX15" s="246"/>
      <c r="WY15" s="246"/>
      <c r="WZ15" s="246"/>
      <c r="XA15" s="246"/>
      <c r="XB15" s="246"/>
      <c r="XC15" s="246"/>
      <c r="XD15" s="246"/>
      <c r="XE15" s="246"/>
      <c r="XF15" s="246"/>
      <c r="XG15" s="246"/>
      <c r="XH15" s="246"/>
      <c r="XI15" s="246"/>
      <c r="XJ15" s="246"/>
      <c r="XK15" s="246"/>
      <c r="XL15" s="246"/>
      <c r="XM15" s="246"/>
      <c r="XN15" s="246"/>
      <c r="XO15" s="246"/>
      <c r="XP15" s="246"/>
      <c r="XQ15" s="246"/>
      <c r="XR15" s="246"/>
      <c r="XS15" s="246"/>
      <c r="XT15" s="246"/>
      <c r="XU15" s="246"/>
      <c r="XV15" s="246"/>
      <c r="XW15" s="246"/>
      <c r="XX15" s="246"/>
      <c r="XY15" s="246"/>
      <c r="XZ15" s="246"/>
      <c r="YA15" s="246"/>
      <c r="YB15" s="246"/>
      <c r="YC15" s="246"/>
      <c r="YD15" s="246"/>
      <c r="YE15" s="246"/>
      <c r="YF15" s="246"/>
      <c r="YG15" s="246"/>
      <c r="YH15" s="246"/>
      <c r="YI15" s="246"/>
      <c r="YJ15" s="246"/>
      <c r="YK15" s="246"/>
      <c r="YL15" s="246"/>
      <c r="YM15" s="246"/>
      <c r="YN15" s="246"/>
      <c r="YO15" s="246"/>
      <c r="YP15" s="246"/>
      <c r="YQ15" s="246"/>
      <c r="YR15" s="246"/>
      <c r="YS15" s="246"/>
      <c r="YT15" s="246"/>
      <c r="YU15" s="246"/>
      <c r="YV15" s="246"/>
      <c r="YW15" s="246"/>
      <c r="YX15" s="246"/>
      <c r="YY15" s="246"/>
      <c r="YZ15" s="246"/>
      <c r="ZA15" s="246"/>
      <c r="ZB15" s="246"/>
      <c r="ZC15" s="246"/>
      <c r="ZD15" s="246"/>
      <c r="ZE15" s="246"/>
      <c r="ZF15" s="246"/>
      <c r="ZG15" s="246"/>
      <c r="ZH15" s="246"/>
      <c r="ZI15" s="246"/>
      <c r="ZJ15" s="246"/>
      <c r="ZK15" s="246"/>
      <c r="ZL15" s="246"/>
      <c r="ZM15" s="246"/>
      <c r="ZN15" s="246"/>
      <c r="ZO15" s="246"/>
      <c r="ZP15" s="246"/>
      <c r="ZQ15" s="246"/>
      <c r="ZR15" s="246"/>
      <c r="ZS15" s="246"/>
      <c r="ZT15" s="246"/>
      <c r="ZU15" s="246"/>
      <c r="ZV15" s="246"/>
      <c r="ZW15" s="246"/>
      <c r="ZX15" s="246"/>
      <c r="ZY15" s="246"/>
      <c r="ZZ15" s="246"/>
      <c r="AAA15" s="246"/>
      <c r="AAB15" s="246"/>
      <c r="AAC15" s="246"/>
      <c r="AAD15" s="246"/>
      <c r="AAE15" s="246"/>
      <c r="AAF15" s="246"/>
      <c r="AAG15" s="246"/>
      <c r="AAH15" s="246"/>
      <c r="AAI15" s="246"/>
      <c r="AAJ15" s="246"/>
      <c r="AAK15" s="246"/>
      <c r="AAL15" s="246"/>
      <c r="AAM15" s="246"/>
      <c r="AAN15" s="246"/>
      <c r="AAO15" s="246"/>
      <c r="AAP15" s="246"/>
      <c r="AAQ15" s="246"/>
      <c r="AAR15" s="246"/>
      <c r="AAS15" s="246"/>
      <c r="AAT15" s="246"/>
      <c r="AAU15" s="246"/>
      <c r="AAV15" s="246"/>
      <c r="AAW15" s="246"/>
      <c r="AAX15" s="246"/>
      <c r="AAY15" s="246"/>
      <c r="AAZ15" s="246"/>
      <c r="ABA15" s="246"/>
      <c r="ABB15" s="246"/>
      <c r="ABC15" s="246"/>
      <c r="ABD15" s="246"/>
      <c r="ABE15" s="246"/>
      <c r="ABF15" s="246"/>
      <c r="ABG15" s="246"/>
      <c r="ABH15" s="246"/>
      <c r="ABI15" s="246"/>
      <c r="ABJ15" s="246"/>
      <c r="ABK15" s="246"/>
      <c r="ABL15" s="246"/>
      <c r="ABM15" s="246"/>
      <c r="ABN15" s="246"/>
      <c r="ABO15" s="246"/>
      <c r="ABP15" s="246"/>
      <c r="ABQ15" s="246"/>
      <c r="ABR15" s="246"/>
      <c r="ABS15" s="246"/>
      <c r="ABT15" s="246"/>
      <c r="ABU15" s="246"/>
      <c r="ABV15" s="246"/>
      <c r="ABW15" s="246"/>
      <c r="ABX15" s="246"/>
      <c r="ABY15" s="246"/>
      <c r="ABZ15" s="246"/>
      <c r="ACA15" s="246"/>
      <c r="ACB15" s="246"/>
      <c r="ACC15" s="246"/>
      <c r="ACD15" s="246"/>
      <c r="ACE15" s="246"/>
      <c r="ACF15" s="246"/>
      <c r="ACG15" s="246"/>
      <c r="ACH15" s="246"/>
      <c r="ACI15" s="246"/>
      <c r="ACJ15" s="246"/>
      <c r="ACK15" s="246"/>
      <c r="ACL15" s="246"/>
      <c r="ACM15" s="246"/>
      <c r="ACN15" s="246"/>
      <c r="ACO15" s="246"/>
      <c r="ACP15" s="246"/>
      <c r="ACQ15" s="246"/>
      <c r="ACR15" s="246"/>
      <c r="ACS15" s="246"/>
      <c r="ACT15" s="246"/>
      <c r="ACU15" s="246"/>
      <c r="ACV15" s="246"/>
      <c r="ACW15" s="246"/>
      <c r="ACX15" s="246"/>
      <c r="ACY15" s="246"/>
      <c r="ACZ15" s="246"/>
      <c r="ADA15" s="246"/>
      <c r="ADB15" s="246"/>
      <c r="ADC15" s="246"/>
      <c r="ADD15" s="246"/>
      <c r="ADE15" s="246"/>
      <c r="ADF15" s="246"/>
      <c r="ADG15" s="246"/>
      <c r="ADH15" s="246"/>
      <c r="ADI15" s="246"/>
      <c r="ADJ15" s="246"/>
      <c r="ADK15" s="246"/>
      <c r="ADL15" s="246"/>
      <c r="ADM15" s="246"/>
      <c r="ADN15" s="246"/>
      <c r="ADO15" s="246"/>
      <c r="ADP15" s="246"/>
      <c r="ADQ15" s="246"/>
      <c r="ADR15" s="246"/>
      <c r="ADS15" s="246"/>
      <c r="ADT15" s="246"/>
      <c r="ADU15" s="246"/>
      <c r="ADV15" s="246"/>
      <c r="ADW15" s="246"/>
      <c r="ADX15" s="246"/>
      <c r="ADY15" s="246"/>
      <c r="ADZ15" s="246"/>
      <c r="AEA15" s="246"/>
      <c r="AEB15" s="246"/>
      <c r="AEC15" s="246"/>
      <c r="AED15" s="246"/>
      <c r="AEE15" s="246"/>
      <c r="AEF15" s="246"/>
      <c r="AEG15" s="246"/>
      <c r="AEH15" s="246"/>
      <c r="AEI15" s="246"/>
      <c r="AEJ15" s="246"/>
      <c r="AEK15" s="246"/>
      <c r="AEL15" s="246"/>
      <c r="AEM15" s="246"/>
      <c r="AEN15" s="246"/>
      <c r="AEO15" s="246"/>
      <c r="AEP15" s="246"/>
      <c r="AEQ15" s="246"/>
      <c r="AER15" s="246"/>
      <c r="AES15" s="246"/>
      <c r="AET15" s="246"/>
      <c r="AEU15" s="246"/>
      <c r="AEV15" s="246"/>
      <c r="AEW15" s="246"/>
      <c r="AEX15" s="246"/>
      <c r="AEY15" s="246"/>
      <c r="AEZ15" s="246"/>
      <c r="AFA15" s="246"/>
      <c r="AFB15" s="246"/>
      <c r="AFC15" s="246"/>
      <c r="AFD15" s="246"/>
      <c r="AFE15" s="246"/>
      <c r="AFF15" s="246"/>
      <c r="AFG15" s="246"/>
      <c r="AFH15" s="246"/>
      <c r="AFI15" s="246"/>
      <c r="AFJ15" s="246"/>
      <c r="AFK15" s="246"/>
      <c r="AFL15" s="246"/>
      <c r="AFM15" s="246"/>
      <c r="AFN15" s="246"/>
      <c r="AFO15" s="246"/>
      <c r="AFP15" s="246"/>
      <c r="AFQ15" s="246"/>
      <c r="AFR15" s="246"/>
      <c r="AFS15" s="246"/>
      <c r="AFT15" s="246"/>
      <c r="AFU15" s="246"/>
      <c r="AFV15" s="246"/>
      <c r="AFW15" s="246"/>
      <c r="AFX15" s="246"/>
      <c r="AFY15" s="246"/>
      <c r="AFZ15" s="246"/>
      <c r="AGA15" s="246"/>
      <c r="AGB15" s="246"/>
    </row>
    <row r="16" spans="1:860" ht="14.25" customHeight="1" x14ac:dyDescent="0.2">
      <c r="A16" s="367">
        <v>9711</v>
      </c>
      <c r="B16" s="167" t="s">
        <v>470</v>
      </c>
      <c r="C16" s="304">
        <v>45811</v>
      </c>
      <c r="D16" s="312" t="s">
        <v>443</v>
      </c>
      <c r="E16" s="313" t="s">
        <v>443</v>
      </c>
      <c r="F16" s="344"/>
      <c r="G16" s="372" t="s">
        <v>315</v>
      </c>
      <c r="H16" s="298"/>
      <c r="I16" s="146"/>
      <c r="J16" s="151" t="s">
        <v>175</v>
      </c>
      <c r="K16" s="150" t="s">
        <v>209</v>
      </c>
      <c r="L16" s="150" t="s">
        <v>210</v>
      </c>
      <c r="M16" s="147">
        <f t="shared" si="6"/>
        <v>44927</v>
      </c>
      <c r="N16" s="148">
        <v>3366420919</v>
      </c>
      <c r="O16" s="151">
        <v>229</v>
      </c>
      <c r="P16" s="180" t="s">
        <v>211</v>
      </c>
      <c r="Q16" s="150" t="s">
        <v>360</v>
      </c>
      <c r="R16" s="151" t="s">
        <v>58</v>
      </c>
      <c r="S16" s="150" t="s">
        <v>27</v>
      </c>
      <c r="T16" s="174" t="s">
        <v>473</v>
      </c>
      <c r="U16" s="167"/>
      <c r="V16" s="167" t="s">
        <v>67</v>
      </c>
      <c r="W16" s="167" t="s">
        <v>292</v>
      </c>
      <c r="X16" s="167"/>
      <c r="Y16" s="154">
        <v>100</v>
      </c>
      <c r="Z16" s="188" t="s">
        <v>460</v>
      </c>
      <c r="AA16" s="155"/>
      <c r="AB16" s="182">
        <f t="shared" si="4"/>
        <v>0</v>
      </c>
      <c r="AC16" s="167"/>
      <c r="AD16" s="281"/>
      <c r="AE16" s="297"/>
      <c r="AF16" s="298"/>
      <c r="AG16" s="298"/>
      <c r="AH16" s="297"/>
      <c r="AI16" s="178"/>
      <c r="AJ16" s="166"/>
      <c r="AK16" s="144" t="s">
        <v>62</v>
      </c>
      <c r="AL16" s="248"/>
      <c r="AM16" s="292"/>
      <c r="AN16" s="292"/>
      <c r="AO16" s="323"/>
      <c r="AP16" s="321">
        <f t="shared" si="5"/>
        <v>23</v>
      </c>
    </row>
    <row r="17" spans="1:861" s="252" customFormat="1" ht="14.25" customHeight="1" x14ac:dyDescent="0.25">
      <c r="A17" s="367">
        <v>9712</v>
      </c>
      <c r="B17" s="167" t="s">
        <v>470</v>
      </c>
      <c r="C17" s="304">
        <v>45811</v>
      </c>
      <c r="D17" s="312" t="s">
        <v>443</v>
      </c>
      <c r="E17" s="313" t="s">
        <v>443</v>
      </c>
      <c r="F17" s="344"/>
      <c r="G17" s="372" t="s">
        <v>315</v>
      </c>
      <c r="H17" s="298"/>
      <c r="I17" s="146"/>
      <c r="J17" s="151" t="s">
        <v>175</v>
      </c>
      <c r="K17" s="150" t="s">
        <v>209</v>
      </c>
      <c r="L17" s="150" t="s">
        <v>210</v>
      </c>
      <c r="M17" s="147">
        <f t="shared" si="6"/>
        <v>44927</v>
      </c>
      <c r="N17" s="148">
        <v>3366420919</v>
      </c>
      <c r="O17" s="151">
        <v>229</v>
      </c>
      <c r="P17" s="118" t="s">
        <v>211</v>
      </c>
      <c r="Q17" s="150" t="s">
        <v>360</v>
      </c>
      <c r="R17" s="151" t="s">
        <v>58</v>
      </c>
      <c r="S17" s="150" t="s">
        <v>27</v>
      </c>
      <c r="T17" s="174" t="s">
        <v>474</v>
      </c>
      <c r="U17" s="167"/>
      <c r="V17" s="167" t="s">
        <v>67</v>
      </c>
      <c r="W17" s="167" t="s">
        <v>293</v>
      </c>
      <c r="X17" s="167"/>
      <c r="Y17" s="154">
        <v>100</v>
      </c>
      <c r="Z17" s="188" t="s">
        <v>460</v>
      </c>
      <c r="AA17" s="155"/>
      <c r="AB17" s="182">
        <f t="shared" si="4"/>
        <v>0</v>
      </c>
      <c r="AC17" s="167"/>
      <c r="AD17" s="281"/>
      <c r="AE17" s="297"/>
      <c r="AF17" s="298"/>
      <c r="AG17" s="298"/>
      <c r="AH17" s="297"/>
      <c r="AI17" s="178"/>
      <c r="AJ17" s="166"/>
      <c r="AK17" s="144" t="s">
        <v>62</v>
      </c>
      <c r="AL17" s="246"/>
      <c r="AM17" s="290"/>
      <c r="AN17" s="290"/>
      <c r="AO17" s="321"/>
      <c r="AP17" s="321">
        <f t="shared" si="5"/>
        <v>23</v>
      </c>
      <c r="AQ17" s="246"/>
      <c r="AR17" s="246"/>
      <c r="AS17" s="246"/>
      <c r="AT17" s="246"/>
      <c r="AU17" s="246"/>
      <c r="AV17" s="246"/>
      <c r="AW17" s="246"/>
      <c r="AX17" s="246"/>
      <c r="AY17" s="246"/>
      <c r="AZ17" s="246"/>
      <c r="BA17" s="246"/>
      <c r="BB17" s="246"/>
      <c r="BC17" s="246"/>
      <c r="BD17" s="246"/>
      <c r="BE17" s="246"/>
      <c r="BF17" s="246"/>
      <c r="BG17" s="246"/>
      <c r="BH17" s="246"/>
      <c r="BI17" s="246"/>
      <c r="BJ17" s="246"/>
      <c r="BK17" s="246"/>
      <c r="BL17" s="246"/>
      <c r="BM17" s="246"/>
      <c r="BN17" s="246"/>
      <c r="BO17" s="246"/>
      <c r="BP17" s="246"/>
      <c r="BQ17" s="246"/>
      <c r="BR17" s="246"/>
      <c r="BS17" s="246"/>
      <c r="BT17" s="246"/>
      <c r="BU17" s="246"/>
      <c r="BV17" s="246"/>
      <c r="BW17" s="246"/>
      <c r="BX17" s="246"/>
      <c r="BY17" s="246"/>
      <c r="BZ17" s="246"/>
      <c r="CA17" s="246"/>
      <c r="CB17" s="246"/>
      <c r="CC17" s="246"/>
      <c r="CD17" s="246"/>
      <c r="CE17" s="246"/>
      <c r="CF17" s="246"/>
      <c r="CG17" s="246"/>
      <c r="CH17" s="246"/>
      <c r="CI17" s="246"/>
      <c r="CJ17" s="246"/>
      <c r="CK17" s="246"/>
      <c r="CL17" s="246"/>
      <c r="CM17" s="246"/>
      <c r="CN17" s="246"/>
      <c r="CO17" s="246"/>
      <c r="CP17" s="246"/>
      <c r="CQ17" s="246"/>
      <c r="CR17" s="246"/>
      <c r="CS17" s="246"/>
      <c r="CT17" s="246"/>
      <c r="CU17" s="246"/>
      <c r="CV17" s="246"/>
      <c r="CW17" s="246"/>
      <c r="CX17" s="246"/>
      <c r="CY17" s="246"/>
      <c r="CZ17" s="246"/>
      <c r="DA17" s="246"/>
      <c r="DB17" s="246"/>
      <c r="DC17" s="246"/>
      <c r="DD17" s="246"/>
      <c r="DE17" s="246"/>
      <c r="DF17" s="246"/>
      <c r="DG17" s="246"/>
      <c r="DH17" s="246"/>
      <c r="DI17" s="246"/>
      <c r="DJ17" s="246"/>
      <c r="DK17" s="246"/>
      <c r="DL17" s="246"/>
      <c r="DM17" s="246"/>
      <c r="DN17" s="246"/>
      <c r="DO17" s="246"/>
      <c r="DP17" s="246"/>
      <c r="DQ17" s="246"/>
      <c r="DR17" s="246"/>
      <c r="DS17" s="246"/>
      <c r="DT17" s="246"/>
      <c r="DU17" s="246"/>
      <c r="DV17" s="246"/>
      <c r="DW17" s="246"/>
      <c r="DX17" s="246"/>
      <c r="DY17" s="246"/>
      <c r="DZ17" s="246"/>
      <c r="EA17" s="246"/>
      <c r="EB17" s="246"/>
      <c r="EC17" s="246"/>
      <c r="ED17" s="246"/>
      <c r="EE17" s="246"/>
      <c r="EF17" s="246"/>
      <c r="EG17" s="246"/>
      <c r="EH17" s="246"/>
      <c r="EI17" s="246"/>
      <c r="EJ17" s="246"/>
      <c r="EK17" s="246"/>
      <c r="EL17" s="246"/>
      <c r="EM17" s="246"/>
      <c r="EN17" s="246"/>
      <c r="EO17" s="246"/>
      <c r="EP17" s="246"/>
      <c r="EQ17" s="246"/>
      <c r="ER17" s="246"/>
      <c r="ES17" s="246"/>
      <c r="ET17" s="246"/>
      <c r="EU17" s="246"/>
      <c r="EV17" s="246"/>
      <c r="EW17" s="246"/>
      <c r="EX17" s="246"/>
      <c r="EY17" s="246"/>
      <c r="EZ17" s="246"/>
      <c r="FA17" s="246"/>
      <c r="FB17" s="246"/>
      <c r="FC17" s="246"/>
      <c r="FD17" s="246"/>
      <c r="FE17" s="246"/>
      <c r="FF17" s="246"/>
      <c r="FG17" s="246"/>
      <c r="FH17" s="246"/>
      <c r="FI17" s="246"/>
      <c r="FJ17" s="246"/>
      <c r="FK17" s="246"/>
      <c r="FL17" s="246"/>
      <c r="FM17" s="246"/>
      <c r="FN17" s="246"/>
      <c r="FO17" s="246"/>
      <c r="FP17" s="246"/>
      <c r="FQ17" s="246"/>
      <c r="FR17" s="246"/>
      <c r="FS17" s="246"/>
      <c r="FT17" s="246"/>
      <c r="FU17" s="246"/>
      <c r="FV17" s="246"/>
      <c r="FW17" s="246"/>
      <c r="FX17" s="246"/>
      <c r="FY17" s="246"/>
      <c r="FZ17" s="246"/>
      <c r="GA17" s="246"/>
      <c r="GB17" s="246"/>
      <c r="GC17" s="246"/>
      <c r="GD17" s="246"/>
      <c r="GE17" s="246"/>
      <c r="GF17" s="246"/>
      <c r="GG17" s="246"/>
      <c r="GH17" s="246"/>
      <c r="GI17" s="246"/>
      <c r="GJ17" s="246"/>
      <c r="GK17" s="246"/>
      <c r="GL17" s="246"/>
      <c r="GM17" s="246"/>
      <c r="GN17" s="246"/>
      <c r="GO17" s="246"/>
      <c r="GP17" s="246"/>
      <c r="GQ17" s="246"/>
      <c r="GR17" s="246"/>
      <c r="GS17" s="246"/>
      <c r="GT17" s="246"/>
      <c r="GU17" s="246"/>
      <c r="GV17" s="246"/>
      <c r="GW17" s="246"/>
      <c r="GX17" s="246"/>
      <c r="GY17" s="246"/>
      <c r="GZ17" s="246"/>
      <c r="HA17" s="246"/>
      <c r="HB17" s="246"/>
      <c r="HC17" s="246"/>
      <c r="HD17" s="246"/>
      <c r="HE17" s="246"/>
      <c r="HF17" s="246"/>
      <c r="HG17" s="246"/>
      <c r="HH17" s="246"/>
      <c r="HI17" s="246"/>
      <c r="HJ17" s="246"/>
      <c r="HK17" s="246"/>
      <c r="HL17" s="246"/>
      <c r="HM17" s="246"/>
      <c r="HN17" s="246"/>
      <c r="HO17" s="246"/>
      <c r="HP17" s="246"/>
      <c r="HQ17" s="246"/>
      <c r="HR17" s="246"/>
      <c r="HS17" s="246"/>
      <c r="HT17" s="246"/>
      <c r="HU17" s="246"/>
      <c r="HV17" s="246"/>
      <c r="HW17" s="246"/>
      <c r="HX17" s="246"/>
      <c r="HY17" s="246"/>
      <c r="HZ17" s="246"/>
      <c r="IA17" s="246"/>
      <c r="IB17" s="246"/>
      <c r="IC17" s="246"/>
      <c r="ID17" s="246"/>
      <c r="IE17" s="246"/>
      <c r="IF17" s="246"/>
      <c r="IG17" s="246"/>
      <c r="IH17" s="246"/>
      <c r="II17" s="246"/>
      <c r="IJ17" s="246"/>
      <c r="IK17" s="246"/>
      <c r="IL17" s="246"/>
      <c r="IM17" s="246"/>
      <c r="IN17" s="246"/>
      <c r="IO17" s="246"/>
      <c r="IP17" s="246"/>
      <c r="IQ17" s="246"/>
      <c r="IR17" s="246"/>
      <c r="IS17" s="246"/>
      <c r="IT17" s="246"/>
      <c r="IU17" s="246"/>
      <c r="IV17" s="246"/>
      <c r="IW17" s="246"/>
      <c r="IX17" s="246"/>
      <c r="IY17" s="246"/>
      <c r="IZ17" s="246"/>
      <c r="JA17" s="246"/>
      <c r="JB17" s="246"/>
      <c r="JC17" s="246"/>
      <c r="JD17" s="246"/>
      <c r="JE17" s="246"/>
      <c r="JF17" s="246"/>
      <c r="JG17" s="246"/>
      <c r="JH17" s="246"/>
      <c r="JI17" s="246"/>
      <c r="JJ17" s="246"/>
      <c r="JK17" s="246"/>
      <c r="JL17" s="246"/>
      <c r="JM17" s="246"/>
      <c r="JN17" s="246"/>
      <c r="JO17" s="246"/>
      <c r="JP17" s="246"/>
      <c r="JQ17" s="246"/>
      <c r="JR17" s="246"/>
      <c r="JS17" s="246"/>
      <c r="JT17" s="246"/>
      <c r="JU17" s="246"/>
      <c r="JV17" s="246"/>
      <c r="JW17" s="246"/>
      <c r="JX17" s="246"/>
      <c r="JY17" s="246"/>
      <c r="JZ17" s="246"/>
      <c r="KA17" s="246"/>
      <c r="KB17" s="246"/>
      <c r="KC17" s="246"/>
      <c r="KD17" s="246"/>
      <c r="KE17" s="246"/>
      <c r="KF17" s="246"/>
      <c r="KG17" s="246"/>
      <c r="KH17" s="246"/>
      <c r="KI17" s="246"/>
      <c r="KJ17" s="246"/>
      <c r="KK17" s="246"/>
      <c r="KL17" s="246"/>
      <c r="KM17" s="246"/>
      <c r="KN17" s="246"/>
      <c r="KO17" s="246"/>
      <c r="KP17" s="246"/>
      <c r="KQ17" s="246"/>
      <c r="KR17" s="246"/>
      <c r="KS17" s="246"/>
      <c r="KT17" s="246"/>
      <c r="KU17" s="246"/>
      <c r="KV17" s="246"/>
      <c r="KW17" s="246"/>
      <c r="KX17" s="246"/>
      <c r="KY17" s="246"/>
      <c r="KZ17" s="246"/>
      <c r="LA17" s="246"/>
      <c r="LB17" s="246"/>
      <c r="LC17" s="246"/>
      <c r="LD17" s="246"/>
      <c r="LE17" s="246"/>
      <c r="LF17" s="246"/>
      <c r="LG17" s="246"/>
      <c r="LH17" s="246"/>
      <c r="LI17" s="246"/>
      <c r="LJ17" s="246"/>
      <c r="LK17" s="246"/>
      <c r="LL17" s="246"/>
      <c r="LM17" s="246"/>
      <c r="LN17" s="246"/>
      <c r="LO17" s="246"/>
      <c r="LP17" s="246"/>
      <c r="LQ17" s="246"/>
      <c r="LR17" s="246"/>
      <c r="LS17" s="246"/>
      <c r="LT17" s="246"/>
      <c r="LU17" s="246"/>
      <c r="LV17" s="246"/>
      <c r="LW17" s="246"/>
      <c r="LX17" s="246"/>
      <c r="LY17" s="246"/>
      <c r="LZ17" s="246"/>
      <c r="MA17" s="246"/>
      <c r="MB17" s="246"/>
      <c r="MC17" s="246"/>
      <c r="MD17" s="246"/>
      <c r="ME17" s="246"/>
      <c r="MF17" s="246"/>
      <c r="MG17" s="246"/>
      <c r="MH17" s="246"/>
      <c r="MI17" s="246"/>
      <c r="MJ17" s="246"/>
      <c r="MK17" s="246"/>
      <c r="ML17" s="246"/>
      <c r="MM17" s="246"/>
      <c r="MN17" s="246"/>
      <c r="MO17" s="246"/>
      <c r="MP17" s="246"/>
      <c r="MQ17" s="246"/>
      <c r="MR17" s="246"/>
      <c r="MS17" s="246"/>
      <c r="MT17" s="246"/>
      <c r="MU17" s="246"/>
      <c r="MV17" s="246"/>
      <c r="MW17" s="246"/>
      <c r="MX17" s="246"/>
      <c r="MY17" s="246"/>
      <c r="MZ17" s="246"/>
      <c r="NA17" s="246"/>
      <c r="NB17" s="246"/>
      <c r="NC17" s="246"/>
      <c r="ND17" s="246"/>
      <c r="NE17" s="246"/>
      <c r="NF17" s="246"/>
      <c r="NG17" s="246"/>
      <c r="NH17" s="246"/>
      <c r="NI17" s="246"/>
      <c r="NJ17" s="246"/>
      <c r="NK17" s="246"/>
      <c r="NL17" s="246"/>
      <c r="NM17" s="246"/>
      <c r="NN17" s="246"/>
      <c r="NO17" s="246"/>
      <c r="NP17" s="246"/>
      <c r="NQ17" s="246"/>
      <c r="NR17" s="246"/>
      <c r="NS17" s="246"/>
      <c r="NT17" s="246"/>
      <c r="NU17" s="246"/>
      <c r="NV17" s="246"/>
      <c r="NW17" s="246"/>
      <c r="NX17" s="246"/>
      <c r="NY17" s="246"/>
      <c r="NZ17" s="246"/>
      <c r="OA17" s="246"/>
      <c r="OB17" s="246"/>
      <c r="OC17" s="246"/>
      <c r="OD17" s="246"/>
      <c r="OE17" s="246"/>
      <c r="OF17" s="246"/>
      <c r="OG17" s="246"/>
      <c r="OH17" s="246"/>
      <c r="OI17" s="246"/>
      <c r="OJ17" s="246"/>
      <c r="OK17" s="246"/>
      <c r="OL17" s="246"/>
      <c r="OM17" s="246"/>
      <c r="ON17" s="246"/>
      <c r="OO17" s="246"/>
      <c r="OP17" s="246"/>
      <c r="OQ17" s="246"/>
      <c r="OR17" s="246"/>
      <c r="OS17" s="246"/>
      <c r="OT17" s="246"/>
      <c r="OU17" s="246"/>
      <c r="OV17" s="246"/>
      <c r="OW17" s="246"/>
      <c r="OX17" s="246"/>
      <c r="OY17" s="246"/>
      <c r="OZ17" s="246"/>
      <c r="PA17" s="246"/>
      <c r="PB17" s="246"/>
      <c r="PC17" s="246"/>
      <c r="PD17" s="246"/>
      <c r="PE17" s="246"/>
      <c r="PF17" s="246"/>
      <c r="PG17" s="246"/>
      <c r="PH17" s="246"/>
      <c r="PI17" s="246"/>
      <c r="PJ17" s="246"/>
      <c r="PK17" s="246"/>
      <c r="PL17" s="246"/>
      <c r="PM17" s="246"/>
      <c r="PN17" s="246"/>
      <c r="PO17" s="246"/>
      <c r="PP17" s="246"/>
      <c r="PQ17" s="246"/>
      <c r="PR17" s="246"/>
      <c r="PS17" s="246"/>
      <c r="PT17" s="246"/>
      <c r="PU17" s="246"/>
      <c r="PV17" s="246"/>
      <c r="PW17" s="246"/>
      <c r="PX17" s="246"/>
      <c r="PY17" s="246"/>
      <c r="PZ17" s="246"/>
      <c r="QA17" s="246"/>
      <c r="QB17" s="246"/>
      <c r="QC17" s="246"/>
      <c r="QD17" s="246"/>
      <c r="QE17" s="246"/>
      <c r="QF17" s="246"/>
      <c r="QG17" s="246"/>
      <c r="QH17" s="246"/>
      <c r="QI17" s="246"/>
      <c r="QJ17" s="246"/>
      <c r="QK17" s="246"/>
      <c r="QL17" s="246"/>
      <c r="QM17" s="246"/>
      <c r="QN17" s="246"/>
      <c r="QO17" s="246"/>
      <c r="QP17" s="246"/>
      <c r="QQ17" s="246"/>
      <c r="QR17" s="246"/>
      <c r="QS17" s="246"/>
      <c r="QT17" s="246"/>
      <c r="QU17" s="246"/>
      <c r="QV17" s="246"/>
      <c r="QW17" s="246"/>
      <c r="QX17" s="246"/>
      <c r="QY17" s="246"/>
      <c r="QZ17" s="246"/>
      <c r="RA17" s="246"/>
      <c r="RB17" s="246"/>
      <c r="RC17" s="246"/>
      <c r="RD17" s="246"/>
      <c r="RE17" s="246"/>
      <c r="RF17" s="246"/>
      <c r="RG17" s="246"/>
      <c r="RH17" s="246"/>
      <c r="RI17" s="246"/>
      <c r="RJ17" s="246"/>
      <c r="RK17" s="246"/>
      <c r="RL17" s="246"/>
      <c r="RM17" s="246"/>
      <c r="RN17" s="246"/>
      <c r="RO17" s="246"/>
      <c r="RP17" s="246"/>
      <c r="RQ17" s="246"/>
      <c r="RR17" s="246"/>
      <c r="RS17" s="246"/>
      <c r="RT17" s="246"/>
      <c r="RU17" s="246"/>
      <c r="RV17" s="246"/>
      <c r="RW17" s="246"/>
      <c r="RX17" s="246"/>
      <c r="RY17" s="246"/>
      <c r="RZ17" s="246"/>
      <c r="SA17" s="246"/>
      <c r="SB17" s="246"/>
      <c r="SC17" s="246"/>
      <c r="SD17" s="246"/>
      <c r="SE17" s="246"/>
      <c r="SF17" s="246"/>
      <c r="SG17" s="246"/>
      <c r="SH17" s="246"/>
      <c r="SI17" s="246"/>
      <c r="SJ17" s="246"/>
      <c r="SK17" s="246"/>
      <c r="SL17" s="246"/>
      <c r="SM17" s="246"/>
      <c r="SN17" s="246"/>
      <c r="SO17" s="246"/>
      <c r="SP17" s="246"/>
      <c r="SQ17" s="246"/>
      <c r="SR17" s="246"/>
      <c r="SS17" s="246"/>
      <c r="ST17" s="246"/>
      <c r="SU17" s="246"/>
      <c r="SV17" s="246"/>
      <c r="SW17" s="246"/>
      <c r="SX17" s="246"/>
      <c r="SY17" s="246"/>
      <c r="SZ17" s="246"/>
      <c r="TA17" s="246"/>
      <c r="TB17" s="246"/>
      <c r="TC17" s="246"/>
      <c r="TD17" s="246"/>
      <c r="TE17" s="246"/>
      <c r="TF17" s="246"/>
      <c r="TG17" s="246"/>
      <c r="TH17" s="246"/>
      <c r="TI17" s="246"/>
      <c r="TJ17" s="246"/>
      <c r="TK17" s="246"/>
      <c r="TL17" s="246"/>
      <c r="TM17" s="246"/>
      <c r="TN17" s="246"/>
      <c r="TO17" s="246"/>
      <c r="TP17" s="246"/>
      <c r="TQ17" s="246"/>
      <c r="TR17" s="246"/>
      <c r="TS17" s="246"/>
      <c r="TT17" s="246"/>
      <c r="TU17" s="246"/>
      <c r="TV17" s="246"/>
      <c r="TW17" s="246"/>
      <c r="TX17" s="246"/>
      <c r="TY17" s="246"/>
      <c r="TZ17" s="246"/>
      <c r="UA17" s="246"/>
      <c r="UB17" s="246"/>
      <c r="UC17" s="246"/>
      <c r="UD17" s="246"/>
      <c r="UE17" s="246"/>
      <c r="UF17" s="246"/>
      <c r="UG17" s="246"/>
      <c r="UH17" s="246"/>
      <c r="UI17" s="246"/>
      <c r="UJ17" s="246"/>
      <c r="UK17" s="246"/>
      <c r="UL17" s="246"/>
      <c r="UM17" s="246"/>
      <c r="UN17" s="246"/>
      <c r="UO17" s="246"/>
      <c r="UP17" s="246"/>
      <c r="UQ17" s="246"/>
      <c r="UR17" s="246"/>
      <c r="US17" s="246"/>
      <c r="UT17" s="246"/>
      <c r="UU17" s="246"/>
      <c r="UV17" s="246"/>
      <c r="UW17" s="246"/>
      <c r="UX17" s="246"/>
      <c r="UY17" s="246"/>
      <c r="UZ17" s="246"/>
      <c r="VA17" s="246"/>
      <c r="VB17" s="246"/>
      <c r="VC17" s="246"/>
      <c r="VD17" s="246"/>
      <c r="VE17" s="246"/>
      <c r="VF17" s="246"/>
      <c r="VG17" s="246"/>
      <c r="VH17" s="246"/>
      <c r="VI17" s="246"/>
      <c r="VJ17" s="246"/>
      <c r="VK17" s="246"/>
      <c r="VL17" s="246"/>
      <c r="VM17" s="246"/>
      <c r="VN17" s="246"/>
      <c r="VO17" s="246"/>
      <c r="VP17" s="246"/>
      <c r="VQ17" s="246"/>
      <c r="VR17" s="246"/>
      <c r="VS17" s="246"/>
      <c r="VT17" s="246"/>
      <c r="VU17" s="246"/>
      <c r="VV17" s="246"/>
      <c r="VW17" s="246"/>
      <c r="VX17" s="246"/>
      <c r="VY17" s="246"/>
      <c r="VZ17" s="246"/>
      <c r="WA17" s="246"/>
      <c r="WB17" s="246"/>
      <c r="WC17" s="246"/>
      <c r="WD17" s="246"/>
      <c r="WE17" s="246"/>
      <c r="WF17" s="246"/>
      <c r="WG17" s="246"/>
      <c r="WH17" s="246"/>
      <c r="WI17" s="246"/>
      <c r="WJ17" s="246"/>
      <c r="WK17" s="246"/>
      <c r="WL17" s="246"/>
      <c r="WM17" s="246"/>
      <c r="WN17" s="246"/>
      <c r="WO17" s="246"/>
      <c r="WP17" s="246"/>
      <c r="WQ17" s="246"/>
      <c r="WR17" s="246"/>
      <c r="WS17" s="246"/>
      <c r="WT17" s="246"/>
      <c r="WU17" s="246"/>
      <c r="WV17" s="246"/>
      <c r="WW17" s="246"/>
      <c r="WX17" s="246"/>
      <c r="WY17" s="246"/>
      <c r="WZ17" s="246"/>
      <c r="XA17" s="246"/>
      <c r="XB17" s="246"/>
      <c r="XC17" s="246"/>
      <c r="XD17" s="246"/>
      <c r="XE17" s="246"/>
      <c r="XF17" s="246"/>
      <c r="XG17" s="246"/>
      <c r="XH17" s="246"/>
      <c r="XI17" s="246"/>
      <c r="XJ17" s="246"/>
      <c r="XK17" s="246"/>
      <c r="XL17" s="246"/>
      <c r="XM17" s="246"/>
      <c r="XN17" s="246"/>
      <c r="XO17" s="246"/>
      <c r="XP17" s="246"/>
      <c r="XQ17" s="246"/>
      <c r="XR17" s="246"/>
      <c r="XS17" s="246"/>
      <c r="XT17" s="246"/>
      <c r="XU17" s="246"/>
      <c r="XV17" s="246"/>
      <c r="XW17" s="246"/>
      <c r="XX17" s="246"/>
      <c r="XY17" s="246"/>
      <c r="XZ17" s="246"/>
      <c r="YA17" s="246"/>
      <c r="YB17" s="246"/>
      <c r="YC17" s="246"/>
      <c r="YD17" s="246"/>
      <c r="YE17" s="246"/>
      <c r="YF17" s="246"/>
      <c r="YG17" s="246"/>
      <c r="YH17" s="246"/>
      <c r="YI17" s="246"/>
      <c r="YJ17" s="246"/>
      <c r="YK17" s="246"/>
      <c r="YL17" s="246"/>
      <c r="YM17" s="246"/>
      <c r="YN17" s="246"/>
      <c r="YO17" s="246"/>
      <c r="YP17" s="246"/>
      <c r="YQ17" s="246"/>
      <c r="YR17" s="246"/>
      <c r="YS17" s="246"/>
      <c r="YT17" s="246"/>
      <c r="YU17" s="246"/>
      <c r="YV17" s="246"/>
      <c r="YW17" s="246"/>
      <c r="YX17" s="246"/>
      <c r="YY17" s="246"/>
      <c r="YZ17" s="246"/>
      <c r="ZA17" s="246"/>
      <c r="ZB17" s="246"/>
      <c r="ZC17" s="246"/>
      <c r="ZD17" s="246"/>
      <c r="ZE17" s="246"/>
      <c r="ZF17" s="246"/>
      <c r="ZG17" s="246"/>
      <c r="ZH17" s="246"/>
      <c r="ZI17" s="246"/>
      <c r="ZJ17" s="246"/>
      <c r="ZK17" s="246"/>
      <c r="ZL17" s="246"/>
      <c r="ZM17" s="246"/>
      <c r="ZN17" s="246"/>
      <c r="ZO17" s="246"/>
      <c r="ZP17" s="246"/>
      <c r="ZQ17" s="246"/>
      <c r="ZR17" s="246"/>
      <c r="ZS17" s="246"/>
      <c r="ZT17" s="246"/>
      <c r="ZU17" s="246"/>
      <c r="ZV17" s="246"/>
      <c r="ZW17" s="246"/>
      <c r="ZX17" s="246"/>
      <c r="ZY17" s="246"/>
      <c r="ZZ17" s="246"/>
      <c r="AAA17" s="246"/>
      <c r="AAB17" s="246"/>
      <c r="AAC17" s="246"/>
      <c r="AAD17" s="246"/>
      <c r="AAE17" s="246"/>
      <c r="AAF17" s="246"/>
      <c r="AAG17" s="246"/>
      <c r="AAH17" s="246"/>
      <c r="AAI17" s="246"/>
      <c r="AAJ17" s="246"/>
      <c r="AAK17" s="246"/>
      <c r="AAL17" s="246"/>
      <c r="AAM17" s="246"/>
      <c r="AAN17" s="246"/>
      <c r="AAO17" s="246"/>
      <c r="AAP17" s="246"/>
      <c r="AAQ17" s="246"/>
      <c r="AAR17" s="246"/>
      <c r="AAS17" s="246"/>
      <c r="AAT17" s="246"/>
      <c r="AAU17" s="246"/>
      <c r="AAV17" s="246"/>
      <c r="AAW17" s="246"/>
      <c r="AAX17" s="246"/>
      <c r="AAY17" s="246"/>
      <c r="AAZ17" s="246"/>
      <c r="ABA17" s="246"/>
      <c r="ABB17" s="246"/>
      <c r="ABC17" s="246"/>
      <c r="ABD17" s="246"/>
      <c r="ABE17" s="246"/>
      <c r="ABF17" s="246"/>
      <c r="ABG17" s="246"/>
      <c r="ABH17" s="246"/>
      <c r="ABI17" s="246"/>
      <c r="ABJ17" s="246"/>
      <c r="ABK17" s="246"/>
      <c r="ABL17" s="246"/>
      <c r="ABM17" s="246"/>
      <c r="ABN17" s="246"/>
      <c r="ABO17" s="246"/>
      <c r="ABP17" s="246"/>
      <c r="ABQ17" s="246"/>
      <c r="ABR17" s="246"/>
      <c r="ABS17" s="246"/>
      <c r="ABT17" s="246"/>
      <c r="ABU17" s="246"/>
      <c r="ABV17" s="246"/>
      <c r="ABW17" s="246"/>
      <c r="ABX17" s="246"/>
      <c r="ABY17" s="246"/>
      <c r="ABZ17" s="246"/>
      <c r="ACA17" s="246"/>
      <c r="ACB17" s="246"/>
      <c r="ACC17" s="246"/>
      <c r="ACD17" s="246"/>
      <c r="ACE17" s="246"/>
      <c r="ACF17" s="246"/>
      <c r="ACG17" s="246"/>
      <c r="ACH17" s="246"/>
      <c r="ACI17" s="246"/>
      <c r="ACJ17" s="246"/>
      <c r="ACK17" s="246"/>
      <c r="ACL17" s="246"/>
      <c r="ACM17" s="246"/>
      <c r="ACN17" s="246"/>
      <c r="ACO17" s="246"/>
      <c r="ACP17" s="246"/>
      <c r="ACQ17" s="246"/>
      <c r="ACR17" s="246"/>
      <c r="ACS17" s="246"/>
      <c r="ACT17" s="246"/>
      <c r="ACU17" s="246"/>
      <c r="ACV17" s="246"/>
      <c r="ACW17" s="246"/>
      <c r="ACX17" s="246"/>
      <c r="ACY17" s="246"/>
      <c r="ACZ17" s="246"/>
      <c r="ADA17" s="246"/>
      <c r="ADB17" s="246"/>
      <c r="ADC17" s="246"/>
      <c r="ADD17" s="246"/>
      <c r="ADE17" s="246"/>
      <c r="ADF17" s="246"/>
      <c r="ADG17" s="246"/>
      <c r="ADH17" s="246"/>
      <c r="ADI17" s="246"/>
      <c r="ADJ17" s="246"/>
      <c r="ADK17" s="246"/>
      <c r="ADL17" s="246"/>
      <c r="ADM17" s="246"/>
      <c r="ADN17" s="246"/>
      <c r="ADO17" s="246"/>
      <c r="ADP17" s="246"/>
      <c r="ADQ17" s="246"/>
      <c r="ADR17" s="246"/>
      <c r="ADS17" s="246"/>
      <c r="ADT17" s="246"/>
      <c r="ADU17" s="246"/>
      <c r="ADV17" s="246"/>
      <c r="ADW17" s="246"/>
      <c r="ADX17" s="246"/>
      <c r="ADY17" s="246"/>
      <c r="ADZ17" s="246"/>
      <c r="AEA17" s="246"/>
      <c r="AEB17" s="246"/>
      <c r="AEC17" s="246"/>
      <c r="AED17" s="246"/>
      <c r="AEE17" s="246"/>
      <c r="AEF17" s="246"/>
      <c r="AEG17" s="246"/>
      <c r="AEH17" s="246"/>
      <c r="AEI17" s="246"/>
      <c r="AEJ17" s="246"/>
      <c r="AEK17" s="246"/>
      <c r="AEL17" s="246"/>
      <c r="AEM17" s="246"/>
      <c r="AEN17" s="246"/>
      <c r="AEO17" s="246"/>
      <c r="AEP17" s="246"/>
      <c r="AEQ17" s="246"/>
      <c r="AER17" s="246"/>
      <c r="AES17" s="246"/>
      <c r="AET17" s="246"/>
      <c r="AEU17" s="246"/>
      <c r="AEV17" s="246"/>
      <c r="AEW17" s="246"/>
      <c r="AEX17" s="246"/>
      <c r="AEY17" s="246"/>
      <c r="AEZ17" s="246"/>
      <c r="AFA17" s="246"/>
      <c r="AFB17" s="246"/>
      <c r="AFC17" s="246"/>
      <c r="AFD17" s="246"/>
      <c r="AFE17" s="246"/>
      <c r="AFF17" s="246"/>
      <c r="AFG17" s="246"/>
      <c r="AFH17" s="246"/>
      <c r="AFI17" s="246"/>
      <c r="AFJ17" s="246"/>
      <c r="AFK17" s="246"/>
      <c r="AFL17" s="246"/>
      <c r="AFM17" s="246"/>
      <c r="AFN17" s="246"/>
      <c r="AFO17" s="246"/>
      <c r="AFP17" s="246"/>
      <c r="AFQ17" s="246"/>
      <c r="AFR17" s="246"/>
      <c r="AFS17" s="246"/>
      <c r="AFT17" s="246"/>
      <c r="AFU17" s="246"/>
      <c r="AFV17" s="246"/>
      <c r="AFW17" s="246"/>
      <c r="AFX17" s="246"/>
      <c r="AFY17" s="246"/>
      <c r="AFZ17" s="246"/>
      <c r="AGA17" s="246"/>
      <c r="AGB17" s="246"/>
    </row>
    <row r="18" spans="1:861" s="252" customFormat="1" ht="14.25" customHeight="1" x14ac:dyDescent="0.2">
      <c r="A18" s="367">
        <v>9713</v>
      </c>
      <c r="B18" s="183" t="s">
        <v>470</v>
      </c>
      <c r="C18" s="296">
        <v>45811</v>
      </c>
      <c r="D18" s="312" t="s">
        <v>443</v>
      </c>
      <c r="E18" s="305">
        <v>45824</v>
      </c>
      <c r="F18" s="344"/>
      <c r="G18" s="372" t="s">
        <v>315</v>
      </c>
      <c r="H18" s="301"/>
      <c r="I18" s="189"/>
      <c r="J18" s="183" t="s">
        <v>175</v>
      </c>
      <c r="K18" s="175" t="s">
        <v>209</v>
      </c>
      <c r="L18" s="175" t="s">
        <v>210</v>
      </c>
      <c r="M18" s="177">
        <f t="shared" si="6"/>
        <v>44927</v>
      </c>
      <c r="N18" s="179">
        <v>3366420919</v>
      </c>
      <c r="O18" s="183">
        <v>229</v>
      </c>
      <c r="P18" s="187" t="s">
        <v>211</v>
      </c>
      <c r="Q18" s="175" t="s">
        <v>360</v>
      </c>
      <c r="R18" s="183" t="s">
        <v>58</v>
      </c>
      <c r="S18" s="175" t="s">
        <v>27</v>
      </c>
      <c r="T18" s="181" t="s">
        <v>462</v>
      </c>
      <c r="U18" s="20"/>
      <c r="V18" s="20" t="s">
        <v>67</v>
      </c>
      <c r="W18" s="20" t="s">
        <v>212</v>
      </c>
      <c r="X18" s="20"/>
      <c r="Y18" s="184">
        <v>200</v>
      </c>
      <c r="Z18" s="184">
        <v>200</v>
      </c>
      <c r="AA18" s="185"/>
      <c r="AB18" s="182">
        <f t="shared" si="4"/>
        <v>0</v>
      </c>
      <c r="AC18" s="20"/>
      <c r="AD18" s="282"/>
      <c r="AE18" s="300"/>
      <c r="AF18" s="301"/>
      <c r="AG18" s="301"/>
      <c r="AH18" s="300"/>
      <c r="AI18" s="220"/>
      <c r="AJ18" s="204"/>
      <c r="AK18" s="144" t="s">
        <v>62</v>
      </c>
      <c r="AL18" s="246"/>
      <c r="AM18" s="290"/>
      <c r="AN18" s="290"/>
      <c r="AO18" s="321"/>
      <c r="AP18" s="321">
        <f t="shared" si="5"/>
        <v>23</v>
      </c>
      <c r="AQ18" s="246"/>
      <c r="AR18" s="246"/>
      <c r="AS18" s="246"/>
      <c r="AT18" s="246"/>
      <c r="AU18" s="246"/>
      <c r="AV18" s="246"/>
      <c r="AW18" s="246"/>
      <c r="AX18" s="246"/>
      <c r="AY18" s="246"/>
      <c r="AZ18" s="246"/>
      <c r="BA18" s="246"/>
      <c r="BB18" s="246"/>
      <c r="BC18" s="246"/>
      <c r="BD18" s="246"/>
      <c r="BE18" s="246"/>
      <c r="BF18" s="246"/>
      <c r="BG18" s="246"/>
      <c r="BH18" s="246"/>
      <c r="BI18" s="246"/>
      <c r="BJ18" s="246"/>
      <c r="BK18" s="246"/>
      <c r="BL18" s="246"/>
      <c r="BM18" s="246"/>
      <c r="BN18" s="246"/>
      <c r="BO18" s="246"/>
      <c r="BP18" s="246"/>
      <c r="BQ18" s="246"/>
      <c r="BR18" s="246"/>
      <c r="BS18" s="246"/>
      <c r="BT18" s="246"/>
      <c r="BU18" s="246"/>
      <c r="BV18" s="246"/>
      <c r="BW18" s="246"/>
      <c r="BX18" s="246"/>
      <c r="BY18" s="246"/>
      <c r="BZ18" s="246"/>
      <c r="CA18" s="246"/>
      <c r="CB18" s="246"/>
      <c r="CC18" s="246"/>
      <c r="CD18" s="246"/>
      <c r="CE18" s="246"/>
      <c r="CF18" s="246"/>
      <c r="CG18" s="246"/>
      <c r="CH18" s="246"/>
      <c r="CI18" s="246"/>
      <c r="CJ18" s="246"/>
      <c r="CK18" s="246"/>
      <c r="CL18" s="246"/>
      <c r="CM18" s="246"/>
      <c r="CN18" s="246"/>
      <c r="CO18" s="246"/>
      <c r="CP18" s="246"/>
      <c r="CQ18" s="246"/>
      <c r="CR18" s="246"/>
      <c r="CS18" s="246"/>
      <c r="CT18" s="246"/>
      <c r="CU18" s="246"/>
      <c r="CV18" s="246"/>
      <c r="CW18" s="246"/>
      <c r="CX18" s="246"/>
      <c r="CY18" s="246"/>
      <c r="CZ18" s="246"/>
      <c r="DA18" s="246"/>
      <c r="DB18" s="246"/>
      <c r="DC18" s="246"/>
      <c r="DD18" s="246"/>
      <c r="DE18" s="246"/>
      <c r="DF18" s="246"/>
      <c r="DG18" s="246"/>
      <c r="DH18" s="246"/>
      <c r="DI18" s="246"/>
      <c r="DJ18" s="246"/>
      <c r="DK18" s="246"/>
      <c r="DL18" s="246"/>
      <c r="DM18" s="246"/>
      <c r="DN18" s="246"/>
      <c r="DO18" s="246"/>
      <c r="DP18" s="246"/>
      <c r="DQ18" s="246"/>
      <c r="DR18" s="246"/>
      <c r="DS18" s="246"/>
      <c r="DT18" s="246"/>
      <c r="DU18" s="246"/>
      <c r="DV18" s="246"/>
      <c r="DW18" s="246"/>
      <c r="DX18" s="246"/>
      <c r="DY18" s="246"/>
      <c r="DZ18" s="246"/>
      <c r="EA18" s="246"/>
      <c r="EB18" s="246"/>
      <c r="EC18" s="246"/>
      <c r="ED18" s="246"/>
      <c r="EE18" s="246"/>
      <c r="EF18" s="246"/>
      <c r="EG18" s="246"/>
      <c r="EH18" s="246"/>
      <c r="EI18" s="246"/>
      <c r="EJ18" s="246"/>
      <c r="EK18" s="246"/>
      <c r="EL18" s="246"/>
      <c r="EM18" s="246"/>
      <c r="EN18" s="246"/>
      <c r="EO18" s="246"/>
      <c r="EP18" s="246"/>
      <c r="EQ18" s="246"/>
      <c r="ER18" s="246"/>
      <c r="ES18" s="246"/>
      <c r="ET18" s="246"/>
      <c r="EU18" s="246"/>
      <c r="EV18" s="246"/>
      <c r="EW18" s="246"/>
      <c r="EX18" s="246"/>
      <c r="EY18" s="246"/>
      <c r="EZ18" s="246"/>
      <c r="FA18" s="246"/>
      <c r="FB18" s="246"/>
      <c r="FC18" s="246"/>
      <c r="FD18" s="246"/>
      <c r="FE18" s="246"/>
      <c r="FF18" s="246"/>
      <c r="FG18" s="246"/>
      <c r="FH18" s="246"/>
      <c r="FI18" s="246"/>
      <c r="FJ18" s="246"/>
      <c r="FK18" s="246"/>
      <c r="FL18" s="246"/>
      <c r="FM18" s="246"/>
      <c r="FN18" s="246"/>
      <c r="FO18" s="246"/>
      <c r="FP18" s="246"/>
      <c r="FQ18" s="246"/>
      <c r="FR18" s="246"/>
      <c r="FS18" s="246"/>
      <c r="FT18" s="246"/>
      <c r="FU18" s="246"/>
      <c r="FV18" s="246"/>
      <c r="FW18" s="246"/>
      <c r="FX18" s="246"/>
      <c r="FY18" s="246"/>
      <c r="FZ18" s="246"/>
      <c r="GA18" s="246"/>
      <c r="GB18" s="246"/>
      <c r="GC18" s="246"/>
      <c r="GD18" s="246"/>
      <c r="GE18" s="246"/>
      <c r="GF18" s="246"/>
      <c r="GG18" s="246"/>
      <c r="GH18" s="246"/>
      <c r="GI18" s="246"/>
      <c r="GJ18" s="246"/>
      <c r="GK18" s="246"/>
      <c r="GL18" s="246"/>
      <c r="GM18" s="246"/>
      <c r="GN18" s="246"/>
      <c r="GO18" s="246"/>
      <c r="GP18" s="246"/>
      <c r="GQ18" s="246"/>
      <c r="GR18" s="246"/>
      <c r="GS18" s="246"/>
      <c r="GT18" s="246"/>
      <c r="GU18" s="246"/>
      <c r="GV18" s="246"/>
      <c r="GW18" s="246"/>
      <c r="GX18" s="246"/>
      <c r="GY18" s="246"/>
      <c r="GZ18" s="246"/>
      <c r="HA18" s="246"/>
      <c r="HB18" s="246"/>
      <c r="HC18" s="246"/>
      <c r="HD18" s="246"/>
      <c r="HE18" s="246"/>
      <c r="HF18" s="246"/>
      <c r="HG18" s="246"/>
      <c r="HH18" s="246"/>
      <c r="HI18" s="246"/>
      <c r="HJ18" s="246"/>
      <c r="HK18" s="246"/>
      <c r="HL18" s="246"/>
      <c r="HM18" s="246"/>
      <c r="HN18" s="246"/>
      <c r="HO18" s="246"/>
      <c r="HP18" s="246"/>
      <c r="HQ18" s="246"/>
      <c r="HR18" s="246"/>
      <c r="HS18" s="246"/>
      <c r="HT18" s="246"/>
      <c r="HU18" s="246"/>
      <c r="HV18" s="246"/>
      <c r="HW18" s="246"/>
      <c r="HX18" s="246"/>
      <c r="HY18" s="246"/>
      <c r="HZ18" s="246"/>
      <c r="IA18" s="246"/>
      <c r="IB18" s="246"/>
      <c r="IC18" s="246"/>
      <c r="ID18" s="246"/>
      <c r="IE18" s="246"/>
      <c r="IF18" s="246"/>
      <c r="IG18" s="246"/>
      <c r="IH18" s="246"/>
      <c r="II18" s="246"/>
      <c r="IJ18" s="246"/>
      <c r="IK18" s="246"/>
      <c r="IL18" s="246"/>
      <c r="IM18" s="246"/>
      <c r="IN18" s="246"/>
      <c r="IO18" s="246"/>
      <c r="IP18" s="246"/>
      <c r="IQ18" s="246"/>
      <c r="IR18" s="246"/>
      <c r="IS18" s="246"/>
      <c r="IT18" s="246"/>
      <c r="IU18" s="246"/>
      <c r="IV18" s="246"/>
      <c r="IW18" s="246"/>
      <c r="IX18" s="246"/>
      <c r="IY18" s="246"/>
      <c r="IZ18" s="246"/>
      <c r="JA18" s="246"/>
      <c r="JB18" s="246"/>
      <c r="JC18" s="246"/>
      <c r="JD18" s="246"/>
      <c r="JE18" s="246"/>
      <c r="JF18" s="246"/>
      <c r="JG18" s="246"/>
      <c r="JH18" s="246"/>
      <c r="JI18" s="246"/>
      <c r="JJ18" s="246"/>
      <c r="JK18" s="246"/>
      <c r="JL18" s="246"/>
      <c r="JM18" s="246"/>
      <c r="JN18" s="246"/>
      <c r="JO18" s="246"/>
      <c r="JP18" s="246"/>
      <c r="JQ18" s="246"/>
      <c r="JR18" s="246"/>
      <c r="JS18" s="246"/>
      <c r="JT18" s="246"/>
      <c r="JU18" s="246"/>
      <c r="JV18" s="246"/>
      <c r="JW18" s="246"/>
      <c r="JX18" s="246"/>
      <c r="JY18" s="246"/>
      <c r="JZ18" s="246"/>
      <c r="KA18" s="246"/>
      <c r="KB18" s="246"/>
      <c r="KC18" s="246"/>
      <c r="KD18" s="246"/>
      <c r="KE18" s="246"/>
      <c r="KF18" s="246"/>
      <c r="KG18" s="246"/>
      <c r="KH18" s="246"/>
      <c r="KI18" s="246"/>
      <c r="KJ18" s="246"/>
      <c r="KK18" s="246"/>
      <c r="KL18" s="246"/>
      <c r="KM18" s="246"/>
      <c r="KN18" s="246"/>
      <c r="KO18" s="246"/>
      <c r="KP18" s="246"/>
      <c r="KQ18" s="246"/>
      <c r="KR18" s="246"/>
      <c r="KS18" s="246"/>
      <c r="KT18" s="246"/>
      <c r="KU18" s="246"/>
      <c r="KV18" s="246"/>
      <c r="KW18" s="246"/>
      <c r="KX18" s="246"/>
      <c r="KY18" s="246"/>
      <c r="KZ18" s="246"/>
      <c r="LA18" s="246"/>
      <c r="LB18" s="246"/>
      <c r="LC18" s="246"/>
      <c r="LD18" s="246"/>
      <c r="LE18" s="246"/>
      <c r="LF18" s="246"/>
      <c r="LG18" s="246"/>
      <c r="LH18" s="246"/>
      <c r="LI18" s="246"/>
      <c r="LJ18" s="246"/>
      <c r="LK18" s="246"/>
      <c r="LL18" s="246"/>
      <c r="LM18" s="246"/>
      <c r="LN18" s="246"/>
      <c r="LO18" s="246"/>
      <c r="LP18" s="246"/>
      <c r="LQ18" s="246"/>
      <c r="LR18" s="246"/>
      <c r="LS18" s="246"/>
      <c r="LT18" s="246"/>
      <c r="LU18" s="246"/>
      <c r="LV18" s="246"/>
      <c r="LW18" s="246"/>
      <c r="LX18" s="246"/>
      <c r="LY18" s="246"/>
      <c r="LZ18" s="246"/>
      <c r="MA18" s="246"/>
      <c r="MB18" s="246"/>
      <c r="MC18" s="246"/>
      <c r="MD18" s="246"/>
      <c r="ME18" s="246"/>
      <c r="MF18" s="246"/>
      <c r="MG18" s="246"/>
      <c r="MH18" s="246"/>
      <c r="MI18" s="246"/>
      <c r="MJ18" s="246"/>
      <c r="MK18" s="246"/>
      <c r="ML18" s="246"/>
      <c r="MM18" s="246"/>
      <c r="MN18" s="246"/>
      <c r="MO18" s="246"/>
      <c r="MP18" s="246"/>
      <c r="MQ18" s="246"/>
      <c r="MR18" s="246"/>
      <c r="MS18" s="246"/>
      <c r="MT18" s="246"/>
      <c r="MU18" s="246"/>
      <c r="MV18" s="246"/>
      <c r="MW18" s="246"/>
      <c r="MX18" s="246"/>
      <c r="MY18" s="246"/>
      <c r="MZ18" s="246"/>
      <c r="NA18" s="246"/>
      <c r="NB18" s="246"/>
      <c r="NC18" s="246"/>
      <c r="ND18" s="246"/>
      <c r="NE18" s="246"/>
      <c r="NF18" s="246"/>
      <c r="NG18" s="246"/>
      <c r="NH18" s="246"/>
      <c r="NI18" s="246"/>
      <c r="NJ18" s="246"/>
      <c r="NK18" s="246"/>
      <c r="NL18" s="246"/>
      <c r="NM18" s="246"/>
      <c r="NN18" s="246"/>
      <c r="NO18" s="246"/>
      <c r="NP18" s="246"/>
      <c r="NQ18" s="246"/>
      <c r="NR18" s="246"/>
      <c r="NS18" s="246"/>
      <c r="NT18" s="246"/>
      <c r="NU18" s="246"/>
      <c r="NV18" s="246"/>
      <c r="NW18" s="246"/>
      <c r="NX18" s="246"/>
      <c r="NY18" s="246"/>
      <c r="NZ18" s="246"/>
      <c r="OA18" s="246"/>
      <c r="OB18" s="246"/>
      <c r="OC18" s="246"/>
      <c r="OD18" s="246"/>
      <c r="OE18" s="246"/>
      <c r="OF18" s="246"/>
      <c r="OG18" s="246"/>
      <c r="OH18" s="246"/>
      <c r="OI18" s="246"/>
      <c r="OJ18" s="246"/>
      <c r="OK18" s="246"/>
      <c r="OL18" s="246"/>
      <c r="OM18" s="246"/>
      <c r="ON18" s="246"/>
      <c r="OO18" s="246"/>
      <c r="OP18" s="246"/>
      <c r="OQ18" s="246"/>
      <c r="OR18" s="246"/>
      <c r="OS18" s="246"/>
      <c r="OT18" s="246"/>
      <c r="OU18" s="246"/>
      <c r="OV18" s="246"/>
      <c r="OW18" s="246"/>
      <c r="OX18" s="246"/>
      <c r="OY18" s="246"/>
      <c r="OZ18" s="246"/>
      <c r="PA18" s="246"/>
      <c r="PB18" s="246"/>
      <c r="PC18" s="246"/>
      <c r="PD18" s="246"/>
      <c r="PE18" s="246"/>
      <c r="PF18" s="246"/>
      <c r="PG18" s="246"/>
      <c r="PH18" s="246"/>
      <c r="PI18" s="246"/>
      <c r="PJ18" s="246"/>
      <c r="PK18" s="246"/>
      <c r="PL18" s="246"/>
      <c r="PM18" s="246"/>
      <c r="PN18" s="246"/>
      <c r="PO18" s="246"/>
      <c r="PP18" s="246"/>
      <c r="PQ18" s="246"/>
      <c r="PR18" s="246"/>
      <c r="PS18" s="246"/>
      <c r="PT18" s="246"/>
      <c r="PU18" s="246"/>
      <c r="PV18" s="246"/>
      <c r="PW18" s="246"/>
      <c r="PX18" s="246"/>
      <c r="PY18" s="246"/>
      <c r="PZ18" s="246"/>
      <c r="QA18" s="246"/>
      <c r="QB18" s="246"/>
      <c r="QC18" s="246"/>
      <c r="QD18" s="246"/>
      <c r="QE18" s="246"/>
      <c r="QF18" s="246"/>
      <c r="QG18" s="246"/>
      <c r="QH18" s="246"/>
      <c r="QI18" s="246"/>
      <c r="QJ18" s="246"/>
      <c r="QK18" s="246"/>
      <c r="QL18" s="246"/>
      <c r="QM18" s="246"/>
      <c r="QN18" s="246"/>
      <c r="QO18" s="246"/>
      <c r="QP18" s="246"/>
      <c r="QQ18" s="246"/>
      <c r="QR18" s="246"/>
      <c r="QS18" s="246"/>
      <c r="QT18" s="246"/>
      <c r="QU18" s="246"/>
      <c r="QV18" s="246"/>
      <c r="QW18" s="246"/>
      <c r="QX18" s="246"/>
      <c r="QY18" s="246"/>
      <c r="QZ18" s="246"/>
      <c r="RA18" s="246"/>
      <c r="RB18" s="246"/>
      <c r="RC18" s="246"/>
      <c r="RD18" s="246"/>
      <c r="RE18" s="246"/>
      <c r="RF18" s="246"/>
      <c r="RG18" s="246"/>
      <c r="RH18" s="246"/>
      <c r="RI18" s="246"/>
      <c r="RJ18" s="246"/>
      <c r="RK18" s="246"/>
      <c r="RL18" s="246"/>
      <c r="RM18" s="246"/>
      <c r="RN18" s="246"/>
      <c r="RO18" s="246"/>
      <c r="RP18" s="246"/>
      <c r="RQ18" s="246"/>
      <c r="RR18" s="246"/>
      <c r="RS18" s="246"/>
      <c r="RT18" s="246"/>
      <c r="RU18" s="246"/>
      <c r="RV18" s="246"/>
      <c r="RW18" s="246"/>
      <c r="RX18" s="246"/>
      <c r="RY18" s="246"/>
      <c r="RZ18" s="246"/>
      <c r="SA18" s="246"/>
      <c r="SB18" s="246"/>
      <c r="SC18" s="246"/>
      <c r="SD18" s="246"/>
      <c r="SE18" s="246"/>
      <c r="SF18" s="246"/>
      <c r="SG18" s="246"/>
      <c r="SH18" s="246"/>
      <c r="SI18" s="246"/>
      <c r="SJ18" s="246"/>
      <c r="SK18" s="246"/>
      <c r="SL18" s="246"/>
      <c r="SM18" s="246"/>
      <c r="SN18" s="246"/>
      <c r="SO18" s="246"/>
      <c r="SP18" s="246"/>
      <c r="SQ18" s="246"/>
      <c r="SR18" s="246"/>
      <c r="SS18" s="246"/>
      <c r="ST18" s="246"/>
      <c r="SU18" s="246"/>
      <c r="SV18" s="246"/>
      <c r="SW18" s="246"/>
      <c r="SX18" s="246"/>
      <c r="SY18" s="246"/>
      <c r="SZ18" s="246"/>
      <c r="TA18" s="246"/>
      <c r="TB18" s="246"/>
      <c r="TC18" s="246"/>
      <c r="TD18" s="246"/>
      <c r="TE18" s="246"/>
      <c r="TF18" s="246"/>
      <c r="TG18" s="246"/>
      <c r="TH18" s="246"/>
      <c r="TI18" s="246"/>
      <c r="TJ18" s="246"/>
      <c r="TK18" s="246"/>
      <c r="TL18" s="246"/>
      <c r="TM18" s="246"/>
      <c r="TN18" s="246"/>
      <c r="TO18" s="246"/>
      <c r="TP18" s="246"/>
      <c r="TQ18" s="246"/>
      <c r="TR18" s="246"/>
      <c r="TS18" s="246"/>
      <c r="TT18" s="246"/>
      <c r="TU18" s="246"/>
      <c r="TV18" s="246"/>
      <c r="TW18" s="246"/>
      <c r="TX18" s="246"/>
      <c r="TY18" s="246"/>
      <c r="TZ18" s="246"/>
      <c r="UA18" s="246"/>
      <c r="UB18" s="246"/>
      <c r="UC18" s="246"/>
      <c r="UD18" s="246"/>
      <c r="UE18" s="246"/>
      <c r="UF18" s="246"/>
      <c r="UG18" s="246"/>
      <c r="UH18" s="246"/>
      <c r="UI18" s="246"/>
      <c r="UJ18" s="246"/>
      <c r="UK18" s="246"/>
      <c r="UL18" s="246"/>
      <c r="UM18" s="246"/>
      <c r="UN18" s="246"/>
      <c r="UO18" s="246"/>
      <c r="UP18" s="246"/>
      <c r="UQ18" s="246"/>
      <c r="UR18" s="246"/>
      <c r="US18" s="246"/>
      <c r="UT18" s="246"/>
      <c r="UU18" s="246"/>
      <c r="UV18" s="246"/>
      <c r="UW18" s="246"/>
      <c r="UX18" s="246"/>
      <c r="UY18" s="246"/>
      <c r="UZ18" s="246"/>
      <c r="VA18" s="246"/>
      <c r="VB18" s="246"/>
      <c r="VC18" s="246"/>
      <c r="VD18" s="246"/>
      <c r="VE18" s="246"/>
      <c r="VF18" s="246"/>
      <c r="VG18" s="246"/>
      <c r="VH18" s="246"/>
      <c r="VI18" s="246"/>
      <c r="VJ18" s="246"/>
      <c r="VK18" s="246"/>
      <c r="VL18" s="246"/>
      <c r="VM18" s="246"/>
      <c r="VN18" s="246"/>
      <c r="VO18" s="246"/>
      <c r="VP18" s="246"/>
      <c r="VQ18" s="246"/>
      <c r="VR18" s="246"/>
      <c r="VS18" s="246"/>
      <c r="VT18" s="246"/>
      <c r="VU18" s="246"/>
      <c r="VV18" s="246"/>
      <c r="VW18" s="246"/>
      <c r="VX18" s="246"/>
      <c r="VY18" s="246"/>
      <c r="VZ18" s="246"/>
      <c r="WA18" s="246"/>
      <c r="WB18" s="246"/>
      <c r="WC18" s="246"/>
      <c r="WD18" s="246"/>
      <c r="WE18" s="246"/>
      <c r="WF18" s="246"/>
      <c r="WG18" s="246"/>
      <c r="WH18" s="246"/>
      <c r="WI18" s="246"/>
      <c r="WJ18" s="246"/>
      <c r="WK18" s="246"/>
      <c r="WL18" s="246"/>
      <c r="WM18" s="246"/>
      <c r="WN18" s="246"/>
      <c r="WO18" s="246"/>
      <c r="WP18" s="246"/>
      <c r="WQ18" s="246"/>
      <c r="WR18" s="246"/>
      <c r="WS18" s="246"/>
      <c r="WT18" s="246"/>
      <c r="WU18" s="246"/>
      <c r="WV18" s="246"/>
      <c r="WW18" s="246"/>
      <c r="WX18" s="246"/>
      <c r="WY18" s="246"/>
      <c r="WZ18" s="246"/>
      <c r="XA18" s="246"/>
      <c r="XB18" s="246"/>
      <c r="XC18" s="246"/>
      <c r="XD18" s="246"/>
      <c r="XE18" s="246"/>
      <c r="XF18" s="246"/>
      <c r="XG18" s="246"/>
      <c r="XH18" s="246"/>
      <c r="XI18" s="246"/>
      <c r="XJ18" s="246"/>
      <c r="XK18" s="246"/>
      <c r="XL18" s="246"/>
      <c r="XM18" s="246"/>
      <c r="XN18" s="246"/>
      <c r="XO18" s="246"/>
      <c r="XP18" s="246"/>
      <c r="XQ18" s="246"/>
      <c r="XR18" s="246"/>
      <c r="XS18" s="246"/>
      <c r="XT18" s="246"/>
      <c r="XU18" s="246"/>
      <c r="XV18" s="246"/>
      <c r="XW18" s="246"/>
      <c r="XX18" s="246"/>
      <c r="XY18" s="246"/>
      <c r="XZ18" s="246"/>
      <c r="YA18" s="246"/>
      <c r="YB18" s="246"/>
      <c r="YC18" s="246"/>
      <c r="YD18" s="246"/>
      <c r="YE18" s="246"/>
      <c r="YF18" s="246"/>
      <c r="YG18" s="246"/>
      <c r="YH18" s="246"/>
      <c r="YI18" s="246"/>
      <c r="YJ18" s="246"/>
      <c r="YK18" s="246"/>
      <c r="YL18" s="246"/>
      <c r="YM18" s="246"/>
      <c r="YN18" s="246"/>
      <c r="YO18" s="246"/>
      <c r="YP18" s="246"/>
      <c r="YQ18" s="246"/>
      <c r="YR18" s="246"/>
      <c r="YS18" s="246"/>
      <c r="YT18" s="246"/>
      <c r="YU18" s="246"/>
      <c r="YV18" s="246"/>
      <c r="YW18" s="246"/>
      <c r="YX18" s="246"/>
      <c r="YY18" s="246"/>
      <c r="YZ18" s="246"/>
      <c r="ZA18" s="246"/>
      <c r="ZB18" s="246"/>
      <c r="ZC18" s="246"/>
      <c r="ZD18" s="246"/>
      <c r="ZE18" s="246"/>
      <c r="ZF18" s="246"/>
      <c r="ZG18" s="246"/>
      <c r="ZH18" s="246"/>
      <c r="ZI18" s="246"/>
      <c r="ZJ18" s="246"/>
      <c r="ZK18" s="246"/>
      <c r="ZL18" s="246"/>
      <c r="ZM18" s="246"/>
      <c r="ZN18" s="246"/>
      <c r="ZO18" s="246"/>
      <c r="ZP18" s="246"/>
      <c r="ZQ18" s="246"/>
      <c r="ZR18" s="246"/>
      <c r="ZS18" s="246"/>
      <c r="ZT18" s="246"/>
      <c r="ZU18" s="246"/>
      <c r="ZV18" s="246"/>
      <c r="ZW18" s="246"/>
      <c r="ZX18" s="246"/>
      <c r="ZY18" s="246"/>
      <c r="ZZ18" s="246"/>
      <c r="AAA18" s="246"/>
      <c r="AAB18" s="246"/>
      <c r="AAC18" s="246"/>
      <c r="AAD18" s="246"/>
      <c r="AAE18" s="246"/>
      <c r="AAF18" s="246"/>
      <c r="AAG18" s="246"/>
      <c r="AAH18" s="246"/>
      <c r="AAI18" s="246"/>
      <c r="AAJ18" s="246"/>
      <c r="AAK18" s="246"/>
      <c r="AAL18" s="246"/>
      <c r="AAM18" s="246"/>
      <c r="AAN18" s="246"/>
      <c r="AAO18" s="246"/>
      <c r="AAP18" s="246"/>
      <c r="AAQ18" s="246"/>
      <c r="AAR18" s="246"/>
      <c r="AAS18" s="246"/>
      <c r="AAT18" s="246"/>
      <c r="AAU18" s="246"/>
      <c r="AAV18" s="246"/>
      <c r="AAW18" s="246"/>
      <c r="AAX18" s="246"/>
      <c r="AAY18" s="246"/>
      <c r="AAZ18" s="246"/>
      <c r="ABA18" s="246"/>
      <c r="ABB18" s="246"/>
      <c r="ABC18" s="246"/>
      <c r="ABD18" s="246"/>
      <c r="ABE18" s="246"/>
      <c r="ABF18" s="246"/>
      <c r="ABG18" s="246"/>
      <c r="ABH18" s="246"/>
      <c r="ABI18" s="246"/>
      <c r="ABJ18" s="246"/>
      <c r="ABK18" s="246"/>
      <c r="ABL18" s="246"/>
      <c r="ABM18" s="246"/>
      <c r="ABN18" s="246"/>
      <c r="ABO18" s="246"/>
      <c r="ABP18" s="246"/>
      <c r="ABQ18" s="246"/>
      <c r="ABR18" s="246"/>
      <c r="ABS18" s="246"/>
      <c r="ABT18" s="246"/>
      <c r="ABU18" s="246"/>
      <c r="ABV18" s="246"/>
      <c r="ABW18" s="246"/>
      <c r="ABX18" s="246"/>
      <c r="ABY18" s="246"/>
      <c r="ABZ18" s="246"/>
      <c r="ACA18" s="246"/>
      <c r="ACB18" s="246"/>
      <c r="ACC18" s="246"/>
      <c r="ACD18" s="246"/>
      <c r="ACE18" s="246"/>
      <c r="ACF18" s="246"/>
      <c r="ACG18" s="246"/>
      <c r="ACH18" s="246"/>
      <c r="ACI18" s="246"/>
      <c r="ACJ18" s="246"/>
      <c r="ACK18" s="246"/>
      <c r="ACL18" s="246"/>
      <c r="ACM18" s="246"/>
      <c r="ACN18" s="246"/>
      <c r="ACO18" s="246"/>
      <c r="ACP18" s="246"/>
      <c r="ACQ18" s="246"/>
      <c r="ACR18" s="246"/>
      <c r="ACS18" s="246"/>
      <c r="ACT18" s="246"/>
      <c r="ACU18" s="246"/>
      <c r="ACV18" s="246"/>
      <c r="ACW18" s="246"/>
      <c r="ACX18" s="246"/>
      <c r="ACY18" s="246"/>
      <c r="ACZ18" s="246"/>
      <c r="ADA18" s="246"/>
      <c r="ADB18" s="246"/>
      <c r="ADC18" s="246"/>
      <c r="ADD18" s="246"/>
      <c r="ADE18" s="246"/>
      <c r="ADF18" s="246"/>
      <c r="ADG18" s="246"/>
      <c r="ADH18" s="246"/>
      <c r="ADI18" s="246"/>
      <c r="ADJ18" s="246"/>
      <c r="ADK18" s="246"/>
      <c r="ADL18" s="246"/>
      <c r="ADM18" s="246"/>
      <c r="ADN18" s="246"/>
      <c r="ADO18" s="246"/>
      <c r="ADP18" s="246"/>
      <c r="ADQ18" s="246"/>
      <c r="ADR18" s="246"/>
      <c r="ADS18" s="246"/>
      <c r="ADT18" s="246"/>
      <c r="ADU18" s="246"/>
      <c r="ADV18" s="246"/>
      <c r="ADW18" s="246"/>
      <c r="ADX18" s="246"/>
      <c r="ADY18" s="246"/>
      <c r="ADZ18" s="246"/>
      <c r="AEA18" s="246"/>
      <c r="AEB18" s="246"/>
      <c r="AEC18" s="246"/>
      <c r="AED18" s="246"/>
      <c r="AEE18" s="246"/>
      <c r="AEF18" s="246"/>
      <c r="AEG18" s="246"/>
      <c r="AEH18" s="246"/>
      <c r="AEI18" s="246"/>
      <c r="AEJ18" s="246"/>
      <c r="AEK18" s="246"/>
      <c r="AEL18" s="246"/>
      <c r="AEM18" s="246"/>
      <c r="AEN18" s="246"/>
      <c r="AEO18" s="246"/>
      <c r="AEP18" s="246"/>
      <c r="AEQ18" s="246"/>
      <c r="AER18" s="246"/>
      <c r="AES18" s="246"/>
      <c r="AET18" s="246"/>
      <c r="AEU18" s="246"/>
      <c r="AEV18" s="246"/>
      <c r="AEW18" s="246"/>
      <c r="AEX18" s="246"/>
      <c r="AEY18" s="246"/>
      <c r="AEZ18" s="246"/>
      <c r="AFA18" s="246"/>
      <c r="AFB18" s="246"/>
      <c r="AFC18" s="246"/>
      <c r="AFD18" s="246"/>
      <c r="AFE18" s="246"/>
      <c r="AFF18" s="246"/>
      <c r="AFG18" s="246"/>
      <c r="AFH18" s="246"/>
      <c r="AFI18" s="246"/>
      <c r="AFJ18" s="246"/>
      <c r="AFK18" s="246"/>
      <c r="AFL18" s="246"/>
      <c r="AFM18" s="246"/>
      <c r="AFN18" s="246"/>
      <c r="AFO18" s="246"/>
      <c r="AFP18" s="246"/>
      <c r="AFQ18" s="246"/>
      <c r="AFR18" s="246"/>
      <c r="AFS18" s="246"/>
      <c r="AFT18" s="246"/>
      <c r="AFU18" s="246"/>
      <c r="AFV18" s="246"/>
      <c r="AFW18" s="246"/>
      <c r="AFX18" s="246"/>
      <c r="AFY18" s="246"/>
      <c r="AFZ18" s="246"/>
      <c r="AGA18" s="246"/>
      <c r="AGB18" s="246"/>
    </row>
    <row r="19" spans="1:861" s="252" customFormat="1" ht="14.25" customHeight="1" x14ac:dyDescent="0.2">
      <c r="A19" s="367">
        <v>9714</v>
      </c>
      <c r="B19" s="183" t="s">
        <v>470</v>
      </c>
      <c r="C19" s="296">
        <v>45811</v>
      </c>
      <c r="D19" s="312" t="s">
        <v>443</v>
      </c>
      <c r="E19" s="305">
        <v>45824</v>
      </c>
      <c r="F19" s="344"/>
      <c r="G19" s="372" t="s">
        <v>315</v>
      </c>
      <c r="H19" s="301"/>
      <c r="I19" s="189"/>
      <c r="J19" s="183" t="s">
        <v>175</v>
      </c>
      <c r="K19" s="175" t="s">
        <v>209</v>
      </c>
      <c r="L19" s="175" t="s">
        <v>210</v>
      </c>
      <c r="M19" s="177">
        <f t="shared" si="6"/>
        <v>44927</v>
      </c>
      <c r="N19" s="179">
        <v>3366420919</v>
      </c>
      <c r="O19" s="183">
        <v>229</v>
      </c>
      <c r="P19" s="187" t="s">
        <v>211</v>
      </c>
      <c r="Q19" s="175" t="s">
        <v>360</v>
      </c>
      <c r="R19" s="183" t="s">
        <v>58</v>
      </c>
      <c r="S19" s="175" t="s">
        <v>27</v>
      </c>
      <c r="T19" s="181" t="s">
        <v>463</v>
      </c>
      <c r="U19" s="20"/>
      <c r="V19" s="20" t="s">
        <v>67</v>
      </c>
      <c r="W19" s="20" t="s">
        <v>213</v>
      </c>
      <c r="X19" s="20"/>
      <c r="Y19" s="184">
        <v>200</v>
      </c>
      <c r="Z19" s="184">
        <v>200</v>
      </c>
      <c r="AA19" s="185"/>
      <c r="AB19" s="182">
        <f t="shared" si="4"/>
        <v>0</v>
      </c>
      <c r="AC19" s="20"/>
      <c r="AD19" s="282"/>
      <c r="AE19" s="300"/>
      <c r="AF19" s="301"/>
      <c r="AG19" s="301"/>
      <c r="AH19" s="300"/>
      <c r="AI19" s="220"/>
      <c r="AJ19" s="204"/>
      <c r="AK19" s="144" t="s">
        <v>62</v>
      </c>
      <c r="AL19" s="246"/>
      <c r="AM19" s="290"/>
      <c r="AN19" s="290"/>
      <c r="AO19" s="321"/>
      <c r="AP19" s="321">
        <f t="shared" si="5"/>
        <v>23</v>
      </c>
      <c r="AQ19" s="246"/>
      <c r="AR19" s="246"/>
      <c r="AS19" s="246"/>
      <c r="AT19" s="246"/>
      <c r="AU19" s="246"/>
      <c r="AV19" s="246"/>
      <c r="AW19" s="246"/>
      <c r="AX19" s="246"/>
      <c r="AY19" s="246"/>
      <c r="AZ19" s="246"/>
      <c r="BA19" s="246"/>
      <c r="BB19" s="246"/>
      <c r="BC19" s="246"/>
      <c r="BD19" s="246"/>
      <c r="BE19" s="246"/>
      <c r="BF19" s="246"/>
      <c r="BG19" s="246"/>
      <c r="BH19" s="246"/>
      <c r="BI19" s="246"/>
      <c r="BJ19" s="246"/>
      <c r="BK19" s="246"/>
      <c r="BL19" s="246"/>
      <c r="BM19" s="246"/>
      <c r="BN19" s="246"/>
      <c r="BO19" s="246"/>
      <c r="BP19" s="246"/>
      <c r="BQ19" s="246"/>
      <c r="BR19" s="246"/>
      <c r="BS19" s="246"/>
      <c r="BT19" s="246"/>
      <c r="BU19" s="246"/>
      <c r="BV19" s="246"/>
      <c r="BW19" s="246"/>
      <c r="BX19" s="246"/>
      <c r="BY19" s="246"/>
      <c r="BZ19" s="246"/>
      <c r="CA19" s="246"/>
      <c r="CB19" s="246"/>
      <c r="CC19" s="246"/>
      <c r="CD19" s="246"/>
      <c r="CE19" s="246"/>
      <c r="CF19" s="246"/>
      <c r="CG19" s="246"/>
      <c r="CH19" s="246"/>
      <c r="CI19" s="246"/>
      <c r="CJ19" s="246"/>
      <c r="CK19" s="246"/>
      <c r="CL19" s="246"/>
      <c r="CM19" s="246"/>
      <c r="CN19" s="246"/>
      <c r="CO19" s="246"/>
      <c r="CP19" s="246"/>
      <c r="CQ19" s="246"/>
      <c r="CR19" s="246"/>
      <c r="CS19" s="246"/>
      <c r="CT19" s="246"/>
      <c r="CU19" s="246"/>
      <c r="CV19" s="246"/>
      <c r="CW19" s="246"/>
      <c r="CX19" s="246"/>
      <c r="CY19" s="246"/>
      <c r="CZ19" s="246"/>
      <c r="DA19" s="246"/>
      <c r="DB19" s="246"/>
      <c r="DC19" s="246"/>
      <c r="DD19" s="246"/>
      <c r="DE19" s="246"/>
      <c r="DF19" s="246"/>
      <c r="DG19" s="246"/>
      <c r="DH19" s="246"/>
      <c r="DI19" s="246"/>
      <c r="DJ19" s="246"/>
      <c r="DK19" s="246"/>
      <c r="DL19" s="246"/>
      <c r="DM19" s="246"/>
      <c r="DN19" s="246"/>
      <c r="DO19" s="246"/>
      <c r="DP19" s="246"/>
      <c r="DQ19" s="246"/>
      <c r="DR19" s="246"/>
      <c r="DS19" s="246"/>
      <c r="DT19" s="246"/>
      <c r="DU19" s="246"/>
      <c r="DV19" s="246"/>
      <c r="DW19" s="246"/>
      <c r="DX19" s="246"/>
      <c r="DY19" s="246"/>
      <c r="DZ19" s="246"/>
      <c r="EA19" s="246"/>
      <c r="EB19" s="246"/>
      <c r="EC19" s="246"/>
      <c r="ED19" s="246"/>
      <c r="EE19" s="246"/>
      <c r="EF19" s="246"/>
      <c r="EG19" s="246"/>
      <c r="EH19" s="246"/>
      <c r="EI19" s="246"/>
      <c r="EJ19" s="246"/>
      <c r="EK19" s="246"/>
      <c r="EL19" s="246"/>
      <c r="EM19" s="246"/>
      <c r="EN19" s="246"/>
      <c r="EO19" s="246"/>
      <c r="EP19" s="246"/>
      <c r="EQ19" s="246"/>
      <c r="ER19" s="246"/>
      <c r="ES19" s="246"/>
      <c r="ET19" s="246"/>
      <c r="EU19" s="246"/>
      <c r="EV19" s="246"/>
      <c r="EW19" s="246"/>
      <c r="EX19" s="246"/>
      <c r="EY19" s="246"/>
      <c r="EZ19" s="246"/>
      <c r="FA19" s="246"/>
      <c r="FB19" s="246"/>
      <c r="FC19" s="246"/>
      <c r="FD19" s="246"/>
      <c r="FE19" s="246"/>
      <c r="FF19" s="246"/>
      <c r="FG19" s="246"/>
      <c r="FH19" s="246"/>
      <c r="FI19" s="246"/>
      <c r="FJ19" s="246"/>
      <c r="FK19" s="246"/>
      <c r="FL19" s="246"/>
      <c r="FM19" s="246"/>
      <c r="FN19" s="246"/>
      <c r="FO19" s="246"/>
      <c r="FP19" s="246"/>
      <c r="FQ19" s="246"/>
      <c r="FR19" s="246"/>
      <c r="FS19" s="246"/>
      <c r="FT19" s="246"/>
      <c r="FU19" s="246"/>
      <c r="FV19" s="246"/>
      <c r="FW19" s="246"/>
      <c r="FX19" s="246"/>
      <c r="FY19" s="246"/>
      <c r="FZ19" s="246"/>
      <c r="GA19" s="246"/>
      <c r="GB19" s="246"/>
      <c r="GC19" s="246"/>
      <c r="GD19" s="246"/>
      <c r="GE19" s="246"/>
      <c r="GF19" s="246"/>
      <c r="GG19" s="246"/>
      <c r="GH19" s="246"/>
      <c r="GI19" s="246"/>
      <c r="GJ19" s="246"/>
      <c r="GK19" s="246"/>
      <c r="GL19" s="246"/>
      <c r="GM19" s="246"/>
      <c r="GN19" s="246"/>
      <c r="GO19" s="246"/>
      <c r="GP19" s="246"/>
      <c r="GQ19" s="246"/>
      <c r="GR19" s="246"/>
      <c r="GS19" s="246"/>
      <c r="GT19" s="246"/>
      <c r="GU19" s="246"/>
      <c r="GV19" s="246"/>
      <c r="GW19" s="246"/>
      <c r="GX19" s="246"/>
      <c r="GY19" s="246"/>
      <c r="GZ19" s="246"/>
      <c r="HA19" s="246"/>
      <c r="HB19" s="246"/>
      <c r="HC19" s="246"/>
      <c r="HD19" s="246"/>
      <c r="HE19" s="246"/>
      <c r="HF19" s="246"/>
      <c r="HG19" s="246"/>
      <c r="HH19" s="246"/>
      <c r="HI19" s="246"/>
      <c r="HJ19" s="246"/>
      <c r="HK19" s="246"/>
      <c r="HL19" s="246"/>
      <c r="HM19" s="246"/>
      <c r="HN19" s="246"/>
      <c r="HO19" s="246"/>
      <c r="HP19" s="246"/>
      <c r="HQ19" s="246"/>
      <c r="HR19" s="246"/>
      <c r="HS19" s="246"/>
      <c r="HT19" s="246"/>
      <c r="HU19" s="246"/>
      <c r="HV19" s="246"/>
      <c r="HW19" s="246"/>
      <c r="HX19" s="246"/>
      <c r="HY19" s="246"/>
      <c r="HZ19" s="246"/>
      <c r="IA19" s="246"/>
      <c r="IB19" s="246"/>
      <c r="IC19" s="246"/>
      <c r="ID19" s="246"/>
      <c r="IE19" s="246"/>
      <c r="IF19" s="246"/>
      <c r="IG19" s="246"/>
      <c r="IH19" s="246"/>
      <c r="II19" s="246"/>
      <c r="IJ19" s="246"/>
      <c r="IK19" s="246"/>
      <c r="IL19" s="246"/>
      <c r="IM19" s="246"/>
      <c r="IN19" s="246"/>
      <c r="IO19" s="246"/>
      <c r="IP19" s="246"/>
      <c r="IQ19" s="246"/>
      <c r="IR19" s="246"/>
      <c r="IS19" s="246"/>
      <c r="IT19" s="246"/>
      <c r="IU19" s="246"/>
      <c r="IV19" s="246"/>
      <c r="IW19" s="246"/>
      <c r="IX19" s="246"/>
      <c r="IY19" s="246"/>
      <c r="IZ19" s="246"/>
      <c r="JA19" s="246"/>
      <c r="JB19" s="246"/>
      <c r="JC19" s="246"/>
      <c r="JD19" s="246"/>
      <c r="JE19" s="246"/>
      <c r="JF19" s="246"/>
      <c r="JG19" s="246"/>
      <c r="JH19" s="246"/>
      <c r="JI19" s="246"/>
      <c r="JJ19" s="246"/>
      <c r="JK19" s="246"/>
      <c r="JL19" s="246"/>
      <c r="JM19" s="246"/>
      <c r="JN19" s="246"/>
      <c r="JO19" s="246"/>
      <c r="JP19" s="246"/>
      <c r="JQ19" s="246"/>
      <c r="JR19" s="246"/>
      <c r="JS19" s="246"/>
      <c r="JT19" s="246"/>
      <c r="JU19" s="246"/>
      <c r="JV19" s="246"/>
      <c r="JW19" s="246"/>
      <c r="JX19" s="246"/>
      <c r="JY19" s="246"/>
      <c r="JZ19" s="246"/>
      <c r="KA19" s="246"/>
      <c r="KB19" s="246"/>
      <c r="KC19" s="246"/>
      <c r="KD19" s="246"/>
      <c r="KE19" s="246"/>
      <c r="KF19" s="246"/>
      <c r="KG19" s="246"/>
      <c r="KH19" s="246"/>
      <c r="KI19" s="246"/>
      <c r="KJ19" s="246"/>
      <c r="KK19" s="246"/>
      <c r="KL19" s="246"/>
      <c r="KM19" s="246"/>
      <c r="KN19" s="246"/>
      <c r="KO19" s="246"/>
      <c r="KP19" s="246"/>
      <c r="KQ19" s="246"/>
      <c r="KR19" s="246"/>
      <c r="KS19" s="246"/>
      <c r="KT19" s="246"/>
      <c r="KU19" s="246"/>
      <c r="KV19" s="246"/>
      <c r="KW19" s="246"/>
      <c r="KX19" s="246"/>
      <c r="KY19" s="246"/>
      <c r="KZ19" s="246"/>
      <c r="LA19" s="246"/>
      <c r="LB19" s="246"/>
      <c r="LC19" s="246"/>
      <c r="LD19" s="246"/>
      <c r="LE19" s="246"/>
      <c r="LF19" s="246"/>
      <c r="LG19" s="246"/>
      <c r="LH19" s="246"/>
      <c r="LI19" s="246"/>
      <c r="LJ19" s="246"/>
      <c r="LK19" s="246"/>
      <c r="LL19" s="246"/>
      <c r="LM19" s="246"/>
      <c r="LN19" s="246"/>
      <c r="LO19" s="246"/>
      <c r="LP19" s="246"/>
      <c r="LQ19" s="246"/>
      <c r="LR19" s="246"/>
      <c r="LS19" s="246"/>
      <c r="LT19" s="246"/>
      <c r="LU19" s="246"/>
      <c r="LV19" s="246"/>
      <c r="LW19" s="246"/>
      <c r="LX19" s="246"/>
      <c r="LY19" s="246"/>
      <c r="LZ19" s="246"/>
      <c r="MA19" s="246"/>
      <c r="MB19" s="246"/>
      <c r="MC19" s="246"/>
      <c r="MD19" s="246"/>
      <c r="ME19" s="246"/>
      <c r="MF19" s="246"/>
      <c r="MG19" s="246"/>
      <c r="MH19" s="246"/>
      <c r="MI19" s="246"/>
      <c r="MJ19" s="246"/>
      <c r="MK19" s="246"/>
      <c r="ML19" s="246"/>
      <c r="MM19" s="246"/>
      <c r="MN19" s="246"/>
      <c r="MO19" s="246"/>
      <c r="MP19" s="246"/>
      <c r="MQ19" s="246"/>
      <c r="MR19" s="246"/>
      <c r="MS19" s="246"/>
      <c r="MT19" s="246"/>
      <c r="MU19" s="246"/>
      <c r="MV19" s="246"/>
      <c r="MW19" s="246"/>
      <c r="MX19" s="246"/>
      <c r="MY19" s="246"/>
      <c r="MZ19" s="246"/>
      <c r="NA19" s="246"/>
      <c r="NB19" s="246"/>
      <c r="NC19" s="246"/>
      <c r="ND19" s="246"/>
      <c r="NE19" s="246"/>
      <c r="NF19" s="246"/>
      <c r="NG19" s="246"/>
      <c r="NH19" s="246"/>
      <c r="NI19" s="246"/>
      <c r="NJ19" s="246"/>
      <c r="NK19" s="246"/>
      <c r="NL19" s="246"/>
      <c r="NM19" s="246"/>
      <c r="NN19" s="246"/>
      <c r="NO19" s="246"/>
      <c r="NP19" s="246"/>
      <c r="NQ19" s="246"/>
      <c r="NR19" s="246"/>
      <c r="NS19" s="246"/>
      <c r="NT19" s="246"/>
      <c r="NU19" s="246"/>
      <c r="NV19" s="246"/>
      <c r="NW19" s="246"/>
      <c r="NX19" s="246"/>
      <c r="NY19" s="246"/>
      <c r="NZ19" s="246"/>
      <c r="OA19" s="246"/>
      <c r="OB19" s="246"/>
      <c r="OC19" s="246"/>
      <c r="OD19" s="246"/>
      <c r="OE19" s="246"/>
      <c r="OF19" s="246"/>
      <c r="OG19" s="246"/>
      <c r="OH19" s="246"/>
      <c r="OI19" s="246"/>
      <c r="OJ19" s="246"/>
      <c r="OK19" s="246"/>
      <c r="OL19" s="246"/>
      <c r="OM19" s="246"/>
      <c r="ON19" s="246"/>
      <c r="OO19" s="246"/>
      <c r="OP19" s="246"/>
      <c r="OQ19" s="246"/>
      <c r="OR19" s="246"/>
      <c r="OS19" s="246"/>
      <c r="OT19" s="246"/>
      <c r="OU19" s="246"/>
      <c r="OV19" s="246"/>
      <c r="OW19" s="246"/>
      <c r="OX19" s="246"/>
      <c r="OY19" s="246"/>
      <c r="OZ19" s="246"/>
      <c r="PA19" s="246"/>
      <c r="PB19" s="246"/>
      <c r="PC19" s="246"/>
      <c r="PD19" s="246"/>
      <c r="PE19" s="246"/>
      <c r="PF19" s="246"/>
      <c r="PG19" s="246"/>
      <c r="PH19" s="246"/>
      <c r="PI19" s="246"/>
      <c r="PJ19" s="246"/>
      <c r="PK19" s="246"/>
      <c r="PL19" s="246"/>
      <c r="PM19" s="246"/>
      <c r="PN19" s="246"/>
      <c r="PO19" s="246"/>
      <c r="PP19" s="246"/>
      <c r="PQ19" s="246"/>
      <c r="PR19" s="246"/>
      <c r="PS19" s="246"/>
      <c r="PT19" s="246"/>
      <c r="PU19" s="246"/>
      <c r="PV19" s="246"/>
      <c r="PW19" s="246"/>
      <c r="PX19" s="246"/>
      <c r="PY19" s="246"/>
      <c r="PZ19" s="246"/>
      <c r="QA19" s="246"/>
      <c r="QB19" s="246"/>
      <c r="QC19" s="246"/>
      <c r="QD19" s="246"/>
      <c r="QE19" s="246"/>
      <c r="QF19" s="246"/>
      <c r="QG19" s="246"/>
      <c r="QH19" s="246"/>
      <c r="QI19" s="246"/>
      <c r="QJ19" s="246"/>
      <c r="QK19" s="246"/>
      <c r="QL19" s="246"/>
      <c r="QM19" s="246"/>
      <c r="QN19" s="246"/>
      <c r="QO19" s="246"/>
      <c r="QP19" s="246"/>
      <c r="QQ19" s="246"/>
      <c r="QR19" s="246"/>
      <c r="QS19" s="246"/>
      <c r="QT19" s="246"/>
      <c r="QU19" s="246"/>
      <c r="QV19" s="246"/>
      <c r="QW19" s="246"/>
      <c r="QX19" s="246"/>
      <c r="QY19" s="246"/>
      <c r="QZ19" s="246"/>
      <c r="RA19" s="246"/>
      <c r="RB19" s="246"/>
      <c r="RC19" s="246"/>
      <c r="RD19" s="246"/>
      <c r="RE19" s="246"/>
      <c r="RF19" s="246"/>
      <c r="RG19" s="246"/>
      <c r="RH19" s="246"/>
      <c r="RI19" s="246"/>
      <c r="RJ19" s="246"/>
      <c r="RK19" s="246"/>
      <c r="RL19" s="246"/>
      <c r="RM19" s="246"/>
      <c r="RN19" s="246"/>
      <c r="RO19" s="246"/>
      <c r="RP19" s="246"/>
      <c r="RQ19" s="246"/>
      <c r="RR19" s="246"/>
      <c r="RS19" s="246"/>
      <c r="RT19" s="246"/>
      <c r="RU19" s="246"/>
      <c r="RV19" s="246"/>
      <c r="RW19" s="246"/>
      <c r="RX19" s="246"/>
      <c r="RY19" s="246"/>
      <c r="RZ19" s="246"/>
      <c r="SA19" s="246"/>
      <c r="SB19" s="246"/>
      <c r="SC19" s="246"/>
      <c r="SD19" s="246"/>
      <c r="SE19" s="246"/>
      <c r="SF19" s="246"/>
      <c r="SG19" s="246"/>
      <c r="SH19" s="246"/>
      <c r="SI19" s="246"/>
      <c r="SJ19" s="246"/>
      <c r="SK19" s="246"/>
      <c r="SL19" s="246"/>
      <c r="SM19" s="246"/>
      <c r="SN19" s="246"/>
      <c r="SO19" s="246"/>
      <c r="SP19" s="246"/>
      <c r="SQ19" s="246"/>
      <c r="SR19" s="246"/>
      <c r="SS19" s="246"/>
      <c r="ST19" s="246"/>
      <c r="SU19" s="246"/>
      <c r="SV19" s="246"/>
      <c r="SW19" s="246"/>
      <c r="SX19" s="246"/>
      <c r="SY19" s="246"/>
      <c r="SZ19" s="246"/>
      <c r="TA19" s="246"/>
      <c r="TB19" s="246"/>
      <c r="TC19" s="246"/>
      <c r="TD19" s="246"/>
      <c r="TE19" s="246"/>
      <c r="TF19" s="246"/>
      <c r="TG19" s="246"/>
      <c r="TH19" s="246"/>
      <c r="TI19" s="246"/>
      <c r="TJ19" s="246"/>
      <c r="TK19" s="246"/>
      <c r="TL19" s="246"/>
      <c r="TM19" s="246"/>
      <c r="TN19" s="246"/>
      <c r="TO19" s="246"/>
      <c r="TP19" s="246"/>
      <c r="TQ19" s="246"/>
      <c r="TR19" s="246"/>
      <c r="TS19" s="246"/>
      <c r="TT19" s="246"/>
      <c r="TU19" s="246"/>
      <c r="TV19" s="246"/>
      <c r="TW19" s="246"/>
      <c r="TX19" s="246"/>
      <c r="TY19" s="246"/>
      <c r="TZ19" s="246"/>
      <c r="UA19" s="246"/>
      <c r="UB19" s="246"/>
      <c r="UC19" s="246"/>
      <c r="UD19" s="246"/>
      <c r="UE19" s="246"/>
      <c r="UF19" s="246"/>
      <c r="UG19" s="246"/>
      <c r="UH19" s="246"/>
      <c r="UI19" s="246"/>
      <c r="UJ19" s="246"/>
      <c r="UK19" s="246"/>
      <c r="UL19" s="246"/>
      <c r="UM19" s="246"/>
      <c r="UN19" s="246"/>
      <c r="UO19" s="246"/>
      <c r="UP19" s="246"/>
      <c r="UQ19" s="246"/>
      <c r="UR19" s="246"/>
      <c r="US19" s="246"/>
      <c r="UT19" s="246"/>
      <c r="UU19" s="246"/>
      <c r="UV19" s="246"/>
      <c r="UW19" s="246"/>
      <c r="UX19" s="246"/>
      <c r="UY19" s="246"/>
      <c r="UZ19" s="246"/>
      <c r="VA19" s="246"/>
      <c r="VB19" s="246"/>
      <c r="VC19" s="246"/>
      <c r="VD19" s="246"/>
      <c r="VE19" s="246"/>
      <c r="VF19" s="246"/>
      <c r="VG19" s="246"/>
      <c r="VH19" s="246"/>
      <c r="VI19" s="246"/>
      <c r="VJ19" s="246"/>
      <c r="VK19" s="246"/>
      <c r="VL19" s="246"/>
      <c r="VM19" s="246"/>
      <c r="VN19" s="246"/>
      <c r="VO19" s="246"/>
      <c r="VP19" s="246"/>
      <c r="VQ19" s="246"/>
      <c r="VR19" s="246"/>
      <c r="VS19" s="246"/>
      <c r="VT19" s="246"/>
      <c r="VU19" s="246"/>
      <c r="VV19" s="246"/>
      <c r="VW19" s="246"/>
      <c r="VX19" s="246"/>
      <c r="VY19" s="246"/>
      <c r="VZ19" s="246"/>
      <c r="WA19" s="246"/>
      <c r="WB19" s="246"/>
      <c r="WC19" s="246"/>
      <c r="WD19" s="246"/>
      <c r="WE19" s="246"/>
      <c r="WF19" s="246"/>
      <c r="WG19" s="246"/>
      <c r="WH19" s="246"/>
      <c r="WI19" s="246"/>
      <c r="WJ19" s="246"/>
      <c r="WK19" s="246"/>
      <c r="WL19" s="246"/>
      <c r="WM19" s="246"/>
      <c r="WN19" s="246"/>
      <c r="WO19" s="246"/>
      <c r="WP19" s="246"/>
      <c r="WQ19" s="246"/>
      <c r="WR19" s="246"/>
      <c r="WS19" s="246"/>
      <c r="WT19" s="246"/>
      <c r="WU19" s="246"/>
      <c r="WV19" s="246"/>
      <c r="WW19" s="246"/>
      <c r="WX19" s="246"/>
      <c r="WY19" s="246"/>
      <c r="WZ19" s="246"/>
      <c r="XA19" s="246"/>
      <c r="XB19" s="246"/>
      <c r="XC19" s="246"/>
      <c r="XD19" s="246"/>
      <c r="XE19" s="246"/>
      <c r="XF19" s="246"/>
      <c r="XG19" s="246"/>
      <c r="XH19" s="246"/>
      <c r="XI19" s="246"/>
      <c r="XJ19" s="246"/>
      <c r="XK19" s="246"/>
      <c r="XL19" s="246"/>
      <c r="XM19" s="246"/>
      <c r="XN19" s="246"/>
      <c r="XO19" s="246"/>
      <c r="XP19" s="246"/>
      <c r="XQ19" s="246"/>
      <c r="XR19" s="246"/>
      <c r="XS19" s="246"/>
      <c r="XT19" s="246"/>
      <c r="XU19" s="246"/>
      <c r="XV19" s="246"/>
      <c r="XW19" s="246"/>
      <c r="XX19" s="246"/>
      <c r="XY19" s="246"/>
      <c r="XZ19" s="246"/>
      <c r="YA19" s="246"/>
      <c r="YB19" s="246"/>
      <c r="YC19" s="246"/>
      <c r="YD19" s="246"/>
      <c r="YE19" s="246"/>
      <c r="YF19" s="246"/>
      <c r="YG19" s="246"/>
      <c r="YH19" s="246"/>
      <c r="YI19" s="246"/>
      <c r="YJ19" s="246"/>
      <c r="YK19" s="246"/>
      <c r="YL19" s="246"/>
      <c r="YM19" s="246"/>
      <c r="YN19" s="246"/>
      <c r="YO19" s="246"/>
      <c r="YP19" s="246"/>
      <c r="YQ19" s="246"/>
      <c r="YR19" s="246"/>
      <c r="YS19" s="246"/>
      <c r="YT19" s="246"/>
      <c r="YU19" s="246"/>
      <c r="YV19" s="246"/>
      <c r="YW19" s="246"/>
      <c r="YX19" s="246"/>
      <c r="YY19" s="246"/>
      <c r="YZ19" s="246"/>
      <c r="ZA19" s="246"/>
      <c r="ZB19" s="246"/>
      <c r="ZC19" s="246"/>
      <c r="ZD19" s="246"/>
      <c r="ZE19" s="246"/>
      <c r="ZF19" s="246"/>
      <c r="ZG19" s="246"/>
      <c r="ZH19" s="246"/>
      <c r="ZI19" s="246"/>
      <c r="ZJ19" s="246"/>
      <c r="ZK19" s="246"/>
      <c r="ZL19" s="246"/>
      <c r="ZM19" s="246"/>
      <c r="ZN19" s="246"/>
      <c r="ZO19" s="246"/>
      <c r="ZP19" s="246"/>
      <c r="ZQ19" s="246"/>
      <c r="ZR19" s="246"/>
      <c r="ZS19" s="246"/>
      <c r="ZT19" s="246"/>
      <c r="ZU19" s="246"/>
      <c r="ZV19" s="246"/>
      <c r="ZW19" s="246"/>
      <c r="ZX19" s="246"/>
      <c r="ZY19" s="246"/>
      <c r="ZZ19" s="246"/>
      <c r="AAA19" s="246"/>
      <c r="AAB19" s="246"/>
      <c r="AAC19" s="246"/>
      <c r="AAD19" s="246"/>
      <c r="AAE19" s="246"/>
      <c r="AAF19" s="246"/>
      <c r="AAG19" s="246"/>
      <c r="AAH19" s="246"/>
      <c r="AAI19" s="246"/>
      <c r="AAJ19" s="246"/>
      <c r="AAK19" s="246"/>
      <c r="AAL19" s="246"/>
      <c r="AAM19" s="246"/>
      <c r="AAN19" s="246"/>
      <c r="AAO19" s="246"/>
      <c r="AAP19" s="246"/>
      <c r="AAQ19" s="246"/>
      <c r="AAR19" s="246"/>
      <c r="AAS19" s="246"/>
      <c r="AAT19" s="246"/>
      <c r="AAU19" s="246"/>
      <c r="AAV19" s="246"/>
      <c r="AAW19" s="246"/>
      <c r="AAX19" s="246"/>
      <c r="AAY19" s="246"/>
      <c r="AAZ19" s="246"/>
      <c r="ABA19" s="246"/>
      <c r="ABB19" s="246"/>
      <c r="ABC19" s="246"/>
      <c r="ABD19" s="246"/>
      <c r="ABE19" s="246"/>
      <c r="ABF19" s="246"/>
      <c r="ABG19" s="246"/>
      <c r="ABH19" s="246"/>
      <c r="ABI19" s="246"/>
      <c r="ABJ19" s="246"/>
      <c r="ABK19" s="246"/>
      <c r="ABL19" s="246"/>
      <c r="ABM19" s="246"/>
      <c r="ABN19" s="246"/>
      <c r="ABO19" s="246"/>
      <c r="ABP19" s="246"/>
      <c r="ABQ19" s="246"/>
      <c r="ABR19" s="246"/>
      <c r="ABS19" s="246"/>
      <c r="ABT19" s="246"/>
      <c r="ABU19" s="246"/>
      <c r="ABV19" s="246"/>
      <c r="ABW19" s="246"/>
      <c r="ABX19" s="246"/>
      <c r="ABY19" s="246"/>
      <c r="ABZ19" s="246"/>
      <c r="ACA19" s="246"/>
      <c r="ACB19" s="246"/>
      <c r="ACC19" s="246"/>
      <c r="ACD19" s="246"/>
      <c r="ACE19" s="246"/>
      <c r="ACF19" s="246"/>
      <c r="ACG19" s="246"/>
      <c r="ACH19" s="246"/>
      <c r="ACI19" s="246"/>
      <c r="ACJ19" s="246"/>
      <c r="ACK19" s="246"/>
      <c r="ACL19" s="246"/>
      <c r="ACM19" s="246"/>
      <c r="ACN19" s="246"/>
      <c r="ACO19" s="246"/>
      <c r="ACP19" s="246"/>
      <c r="ACQ19" s="246"/>
      <c r="ACR19" s="246"/>
      <c r="ACS19" s="246"/>
      <c r="ACT19" s="246"/>
      <c r="ACU19" s="246"/>
      <c r="ACV19" s="246"/>
      <c r="ACW19" s="246"/>
      <c r="ACX19" s="246"/>
      <c r="ACY19" s="246"/>
      <c r="ACZ19" s="246"/>
      <c r="ADA19" s="246"/>
      <c r="ADB19" s="246"/>
      <c r="ADC19" s="246"/>
      <c r="ADD19" s="246"/>
      <c r="ADE19" s="246"/>
      <c r="ADF19" s="246"/>
      <c r="ADG19" s="246"/>
      <c r="ADH19" s="246"/>
      <c r="ADI19" s="246"/>
      <c r="ADJ19" s="246"/>
      <c r="ADK19" s="246"/>
      <c r="ADL19" s="246"/>
      <c r="ADM19" s="246"/>
      <c r="ADN19" s="246"/>
      <c r="ADO19" s="246"/>
      <c r="ADP19" s="246"/>
      <c r="ADQ19" s="246"/>
      <c r="ADR19" s="246"/>
      <c r="ADS19" s="246"/>
      <c r="ADT19" s="246"/>
      <c r="ADU19" s="246"/>
      <c r="ADV19" s="246"/>
      <c r="ADW19" s="246"/>
      <c r="ADX19" s="246"/>
      <c r="ADY19" s="246"/>
      <c r="ADZ19" s="246"/>
      <c r="AEA19" s="246"/>
      <c r="AEB19" s="246"/>
      <c r="AEC19" s="246"/>
      <c r="AED19" s="246"/>
      <c r="AEE19" s="246"/>
      <c r="AEF19" s="246"/>
      <c r="AEG19" s="246"/>
      <c r="AEH19" s="246"/>
      <c r="AEI19" s="246"/>
      <c r="AEJ19" s="246"/>
      <c r="AEK19" s="246"/>
      <c r="AEL19" s="246"/>
      <c r="AEM19" s="246"/>
      <c r="AEN19" s="246"/>
      <c r="AEO19" s="246"/>
      <c r="AEP19" s="246"/>
      <c r="AEQ19" s="246"/>
      <c r="AER19" s="246"/>
      <c r="AES19" s="246"/>
      <c r="AET19" s="246"/>
      <c r="AEU19" s="246"/>
      <c r="AEV19" s="246"/>
      <c r="AEW19" s="246"/>
      <c r="AEX19" s="246"/>
      <c r="AEY19" s="246"/>
      <c r="AEZ19" s="246"/>
      <c r="AFA19" s="246"/>
      <c r="AFB19" s="246"/>
      <c r="AFC19" s="246"/>
      <c r="AFD19" s="246"/>
      <c r="AFE19" s="246"/>
      <c r="AFF19" s="246"/>
      <c r="AFG19" s="246"/>
      <c r="AFH19" s="246"/>
      <c r="AFI19" s="246"/>
      <c r="AFJ19" s="246"/>
      <c r="AFK19" s="246"/>
      <c r="AFL19" s="246"/>
      <c r="AFM19" s="246"/>
      <c r="AFN19" s="246"/>
      <c r="AFO19" s="246"/>
      <c r="AFP19" s="246"/>
      <c r="AFQ19" s="246"/>
      <c r="AFR19" s="246"/>
      <c r="AFS19" s="246"/>
      <c r="AFT19" s="246"/>
      <c r="AFU19" s="246"/>
      <c r="AFV19" s="246"/>
      <c r="AFW19" s="246"/>
      <c r="AFX19" s="246"/>
      <c r="AFY19" s="246"/>
      <c r="AFZ19" s="246"/>
      <c r="AGA19" s="246"/>
      <c r="AGB19" s="246"/>
    </row>
    <row r="20" spans="1:861" s="248" customFormat="1" ht="14.25" customHeight="1" x14ac:dyDescent="0.25">
      <c r="A20" s="367">
        <v>9715</v>
      </c>
      <c r="B20" s="183" t="s">
        <v>63</v>
      </c>
      <c r="C20" s="308">
        <v>45811</v>
      </c>
      <c r="D20" s="297">
        <v>45671</v>
      </c>
      <c r="E20" s="306">
        <v>45671</v>
      </c>
      <c r="F20" s="297">
        <v>45671</v>
      </c>
      <c r="G20" s="305">
        <v>45671</v>
      </c>
      <c r="H20" s="296">
        <v>45811</v>
      </c>
      <c r="I20" s="212"/>
      <c r="J20" s="197" t="s">
        <v>100</v>
      </c>
      <c r="K20" s="121" t="s">
        <v>101</v>
      </c>
      <c r="L20" s="121" t="s">
        <v>102</v>
      </c>
      <c r="M20" s="213">
        <f t="shared" si="6"/>
        <v>45054</v>
      </c>
      <c r="N20" s="217" t="s">
        <v>464</v>
      </c>
      <c r="O20" s="121"/>
      <c r="P20" s="19" t="s">
        <v>465</v>
      </c>
      <c r="Q20" s="121" t="s">
        <v>205</v>
      </c>
      <c r="R20" s="197" t="s">
        <v>58</v>
      </c>
      <c r="S20" s="121" t="s">
        <v>27</v>
      </c>
      <c r="T20" s="193" t="s">
        <v>479</v>
      </c>
      <c r="U20" s="343" t="s">
        <v>475</v>
      </c>
      <c r="V20" s="197" t="s">
        <v>67</v>
      </c>
      <c r="W20" s="20">
        <v>8695</v>
      </c>
      <c r="X20" s="197"/>
      <c r="Y20" s="214">
        <v>150</v>
      </c>
      <c r="Z20" s="216" t="s">
        <v>480</v>
      </c>
      <c r="AA20" s="215">
        <v>41.72</v>
      </c>
      <c r="AB20" s="168">
        <f t="shared" si="4"/>
        <v>6258</v>
      </c>
      <c r="AC20" s="121"/>
      <c r="AD20" s="283">
        <v>195813</v>
      </c>
      <c r="AE20" s="296">
        <v>45811</v>
      </c>
      <c r="AF20" s="296">
        <v>45811</v>
      </c>
      <c r="AG20" s="296">
        <v>45859</v>
      </c>
      <c r="AH20" s="303">
        <v>45861</v>
      </c>
      <c r="AI20" s="354" t="s">
        <v>545</v>
      </c>
      <c r="AJ20" s="202"/>
      <c r="AK20" s="144" t="s">
        <v>62</v>
      </c>
      <c r="AL20" s="246"/>
      <c r="AM20" s="290"/>
      <c r="AN20" s="290"/>
      <c r="AO20" s="321"/>
      <c r="AP20" s="321">
        <f t="shared" si="5"/>
        <v>23</v>
      </c>
    </row>
    <row r="21" spans="1:861" ht="14.25" customHeight="1" x14ac:dyDescent="0.25">
      <c r="A21" s="367">
        <v>9716</v>
      </c>
      <c r="B21" s="167" t="s">
        <v>470</v>
      </c>
      <c r="C21" s="304">
        <v>45811</v>
      </c>
      <c r="D21" s="312" t="s">
        <v>447</v>
      </c>
      <c r="E21" s="313" t="s">
        <v>447</v>
      </c>
      <c r="F21" s="344" t="s">
        <v>133</v>
      </c>
      <c r="G21" s="372" t="s">
        <v>133</v>
      </c>
      <c r="J21" s="152" t="s">
        <v>284</v>
      </c>
      <c r="K21" s="144" t="s">
        <v>546</v>
      </c>
      <c r="L21" s="144" t="s">
        <v>547</v>
      </c>
      <c r="M21" s="207" t="str">
        <f t="shared" si="6"/>
        <v>NEED FORM</v>
      </c>
      <c r="N21" s="208">
        <v>9515051594</v>
      </c>
      <c r="P21" s="21" t="s">
        <v>548</v>
      </c>
      <c r="S21" s="144" t="s">
        <v>27</v>
      </c>
      <c r="T21" s="144" t="s">
        <v>549</v>
      </c>
      <c r="V21" s="152" t="s">
        <v>61</v>
      </c>
      <c r="W21" s="152" t="s">
        <v>269</v>
      </c>
      <c r="Y21" s="209">
        <v>250</v>
      </c>
      <c r="Z21" s="218" t="s">
        <v>550</v>
      </c>
      <c r="AB21" s="171">
        <f t="shared" si="4"/>
        <v>0</v>
      </c>
      <c r="AC21" s="144"/>
      <c r="AD21" s="284"/>
      <c r="AJ21" s="144"/>
      <c r="AK21" s="144" t="s">
        <v>477</v>
      </c>
      <c r="AP21" s="321">
        <f t="shared" si="5"/>
        <v>23</v>
      </c>
    </row>
    <row r="22" spans="1:861" s="252" customFormat="1" ht="14.25" customHeight="1" x14ac:dyDescent="0.2">
      <c r="A22" s="367">
        <v>9717</v>
      </c>
      <c r="B22" s="183" t="s">
        <v>63</v>
      </c>
      <c r="C22" s="301">
        <v>45812</v>
      </c>
      <c r="D22" s="301" t="s">
        <v>51</v>
      </c>
      <c r="E22" s="301">
        <v>44847</v>
      </c>
      <c r="F22" s="301">
        <v>44847</v>
      </c>
      <c r="G22" s="301">
        <v>44847</v>
      </c>
      <c r="H22" s="301">
        <v>45812</v>
      </c>
      <c r="I22" s="189"/>
      <c r="J22" s="183" t="s">
        <v>230</v>
      </c>
      <c r="K22" s="175" t="s">
        <v>419</v>
      </c>
      <c r="L22" s="175" t="s">
        <v>97</v>
      </c>
      <c r="M22" s="177">
        <f t="shared" si="6"/>
        <v>44943</v>
      </c>
      <c r="N22" s="179">
        <v>7048930223</v>
      </c>
      <c r="O22" s="183"/>
      <c r="P22" s="187" t="s">
        <v>405</v>
      </c>
      <c r="Q22" s="175" t="s">
        <v>64</v>
      </c>
      <c r="R22" s="183" t="s">
        <v>58</v>
      </c>
      <c r="S22" s="175" t="s">
        <v>27</v>
      </c>
      <c r="T22" s="181" t="s">
        <v>98</v>
      </c>
      <c r="U22" s="20" t="s">
        <v>327</v>
      </c>
      <c r="V22" s="20" t="s">
        <v>67</v>
      </c>
      <c r="W22" s="20">
        <v>7053</v>
      </c>
      <c r="X22" s="20"/>
      <c r="Y22" s="184">
        <v>42</v>
      </c>
      <c r="Z22" s="184">
        <v>42</v>
      </c>
      <c r="AA22" s="185">
        <v>85.6</v>
      </c>
      <c r="AB22" s="182">
        <f t="shared" si="4"/>
        <v>3595.2</v>
      </c>
      <c r="AC22" s="20"/>
      <c r="AD22" s="283">
        <v>114571</v>
      </c>
      <c r="AE22" s="301">
        <v>45812</v>
      </c>
      <c r="AF22" s="296">
        <v>45813</v>
      </c>
      <c r="AG22" s="296">
        <v>45838</v>
      </c>
      <c r="AH22" s="296">
        <v>45839</v>
      </c>
      <c r="AI22" s="353" t="s">
        <v>551</v>
      </c>
      <c r="AJ22" s="121"/>
      <c r="AK22" s="144" t="s">
        <v>62</v>
      </c>
      <c r="AL22" s="246"/>
      <c r="AM22" s="290"/>
      <c r="AN22" s="290"/>
      <c r="AO22" s="321"/>
      <c r="AP22" s="321">
        <f t="shared" si="5"/>
        <v>23</v>
      </c>
      <c r="AQ22" s="246"/>
      <c r="AR22" s="246"/>
      <c r="AS22" s="246"/>
      <c r="AT22" s="246"/>
      <c r="AU22" s="246"/>
      <c r="AV22" s="246"/>
      <c r="AW22" s="246"/>
      <c r="AX22" s="246"/>
      <c r="AY22" s="246"/>
      <c r="AZ22" s="246"/>
      <c r="BA22" s="246"/>
      <c r="BB22" s="246"/>
      <c r="BC22" s="246"/>
      <c r="BD22" s="246"/>
      <c r="BE22" s="246"/>
      <c r="BF22" s="246"/>
      <c r="BG22" s="246"/>
      <c r="BH22" s="246"/>
      <c r="BI22" s="246"/>
      <c r="BJ22" s="246"/>
      <c r="BK22" s="246"/>
      <c r="BL22" s="246"/>
      <c r="BM22" s="246"/>
      <c r="BN22" s="246"/>
      <c r="BO22" s="246"/>
      <c r="BP22" s="246"/>
      <c r="BQ22" s="246"/>
      <c r="BR22" s="246"/>
      <c r="BS22" s="246"/>
      <c r="BT22" s="246"/>
      <c r="BU22" s="246"/>
      <c r="BV22" s="246"/>
      <c r="BW22" s="246"/>
      <c r="BX22" s="246"/>
      <c r="BY22" s="246"/>
      <c r="BZ22" s="246"/>
      <c r="CA22" s="246"/>
      <c r="CB22" s="246"/>
      <c r="CC22" s="246"/>
      <c r="CD22" s="246"/>
      <c r="CE22" s="246"/>
      <c r="CF22" s="246"/>
      <c r="CG22" s="246"/>
      <c r="CH22" s="246"/>
      <c r="CI22" s="246"/>
      <c r="CJ22" s="246"/>
      <c r="CK22" s="246"/>
      <c r="CL22" s="246"/>
      <c r="CM22" s="246"/>
      <c r="CN22" s="246"/>
      <c r="CO22" s="246"/>
      <c r="CP22" s="246"/>
      <c r="CQ22" s="246"/>
      <c r="CR22" s="246"/>
      <c r="CS22" s="246"/>
      <c r="CT22" s="246"/>
      <c r="CU22" s="246"/>
      <c r="CV22" s="246"/>
      <c r="CW22" s="246"/>
      <c r="CX22" s="246"/>
      <c r="CY22" s="246"/>
      <c r="CZ22" s="246"/>
      <c r="DA22" s="246"/>
      <c r="DB22" s="246"/>
      <c r="DC22" s="246"/>
      <c r="DD22" s="246"/>
      <c r="DE22" s="246"/>
      <c r="DF22" s="246"/>
      <c r="DG22" s="246"/>
      <c r="DH22" s="246"/>
      <c r="DI22" s="246"/>
      <c r="DJ22" s="246"/>
      <c r="DK22" s="246"/>
      <c r="DL22" s="246"/>
      <c r="DM22" s="246"/>
      <c r="DN22" s="246"/>
      <c r="DO22" s="246"/>
      <c r="DP22" s="246"/>
      <c r="DQ22" s="246"/>
      <c r="DR22" s="246"/>
      <c r="DS22" s="246"/>
      <c r="DT22" s="246"/>
      <c r="DU22" s="246"/>
      <c r="DV22" s="246"/>
      <c r="DW22" s="246"/>
      <c r="DX22" s="246"/>
      <c r="DY22" s="246"/>
      <c r="DZ22" s="246"/>
      <c r="EA22" s="246"/>
      <c r="EB22" s="246"/>
      <c r="EC22" s="246"/>
      <c r="ED22" s="246"/>
      <c r="EE22" s="246"/>
      <c r="EF22" s="246"/>
      <c r="EG22" s="246"/>
      <c r="EH22" s="246"/>
      <c r="EI22" s="246"/>
      <c r="EJ22" s="246"/>
      <c r="EK22" s="246"/>
      <c r="EL22" s="246"/>
      <c r="EM22" s="246"/>
      <c r="EN22" s="246"/>
      <c r="EO22" s="246"/>
      <c r="EP22" s="246"/>
      <c r="EQ22" s="246"/>
      <c r="ER22" s="246"/>
      <c r="ES22" s="246"/>
      <c r="ET22" s="246"/>
      <c r="EU22" s="246"/>
      <c r="EV22" s="246"/>
      <c r="EW22" s="246"/>
      <c r="EX22" s="246"/>
      <c r="EY22" s="246"/>
      <c r="EZ22" s="246"/>
      <c r="FA22" s="246"/>
      <c r="FB22" s="246"/>
      <c r="FC22" s="246"/>
      <c r="FD22" s="246"/>
      <c r="FE22" s="246"/>
      <c r="FF22" s="246"/>
      <c r="FG22" s="246"/>
      <c r="FH22" s="246"/>
      <c r="FI22" s="246"/>
      <c r="FJ22" s="246"/>
      <c r="FK22" s="246"/>
      <c r="FL22" s="246"/>
      <c r="FM22" s="246"/>
      <c r="FN22" s="246"/>
      <c r="FO22" s="246"/>
      <c r="FP22" s="246"/>
      <c r="FQ22" s="246"/>
      <c r="FR22" s="246"/>
      <c r="FS22" s="246"/>
      <c r="FT22" s="246"/>
      <c r="FU22" s="246"/>
      <c r="FV22" s="246"/>
      <c r="FW22" s="246"/>
      <c r="FX22" s="246"/>
      <c r="FY22" s="246"/>
      <c r="FZ22" s="246"/>
      <c r="GA22" s="246"/>
      <c r="GB22" s="246"/>
      <c r="GC22" s="246"/>
      <c r="GD22" s="246"/>
      <c r="GE22" s="246"/>
      <c r="GF22" s="246"/>
      <c r="GG22" s="246"/>
      <c r="GH22" s="246"/>
      <c r="GI22" s="246"/>
      <c r="GJ22" s="246"/>
      <c r="GK22" s="246"/>
      <c r="GL22" s="246"/>
      <c r="GM22" s="246"/>
      <c r="GN22" s="246"/>
      <c r="GO22" s="246"/>
      <c r="GP22" s="246"/>
      <c r="GQ22" s="246"/>
      <c r="GR22" s="246"/>
      <c r="GS22" s="246"/>
      <c r="GT22" s="246"/>
      <c r="GU22" s="246"/>
      <c r="GV22" s="246"/>
      <c r="GW22" s="246"/>
      <c r="GX22" s="246"/>
      <c r="GY22" s="246"/>
      <c r="GZ22" s="246"/>
      <c r="HA22" s="246"/>
      <c r="HB22" s="246"/>
      <c r="HC22" s="246"/>
      <c r="HD22" s="246"/>
      <c r="HE22" s="246"/>
      <c r="HF22" s="246"/>
      <c r="HG22" s="246"/>
      <c r="HH22" s="246"/>
      <c r="HI22" s="246"/>
      <c r="HJ22" s="246"/>
      <c r="HK22" s="246"/>
      <c r="HL22" s="246"/>
      <c r="HM22" s="246"/>
      <c r="HN22" s="246"/>
      <c r="HO22" s="246"/>
      <c r="HP22" s="246"/>
      <c r="HQ22" s="246"/>
      <c r="HR22" s="246"/>
      <c r="HS22" s="246"/>
      <c r="HT22" s="246"/>
      <c r="HU22" s="246"/>
      <c r="HV22" s="246"/>
      <c r="HW22" s="246"/>
      <c r="HX22" s="246"/>
      <c r="HY22" s="246"/>
      <c r="HZ22" s="246"/>
      <c r="IA22" s="246"/>
      <c r="IB22" s="246"/>
      <c r="IC22" s="246"/>
      <c r="ID22" s="246"/>
      <c r="IE22" s="246"/>
      <c r="IF22" s="246"/>
      <c r="IG22" s="246"/>
      <c r="IH22" s="246"/>
      <c r="II22" s="246"/>
      <c r="IJ22" s="246"/>
      <c r="IK22" s="246"/>
      <c r="IL22" s="246"/>
      <c r="IM22" s="246"/>
      <c r="IN22" s="246"/>
      <c r="IO22" s="246"/>
      <c r="IP22" s="246"/>
      <c r="IQ22" s="246"/>
      <c r="IR22" s="246"/>
      <c r="IS22" s="246"/>
      <c r="IT22" s="246"/>
      <c r="IU22" s="246"/>
      <c r="IV22" s="246"/>
      <c r="IW22" s="246"/>
      <c r="IX22" s="246"/>
      <c r="IY22" s="246"/>
      <c r="IZ22" s="246"/>
      <c r="JA22" s="246"/>
      <c r="JB22" s="246"/>
      <c r="JC22" s="246"/>
      <c r="JD22" s="246"/>
      <c r="JE22" s="246"/>
      <c r="JF22" s="246"/>
      <c r="JG22" s="246"/>
      <c r="JH22" s="246"/>
      <c r="JI22" s="246"/>
      <c r="JJ22" s="246"/>
      <c r="JK22" s="246"/>
      <c r="JL22" s="246"/>
      <c r="JM22" s="246"/>
      <c r="JN22" s="246"/>
      <c r="JO22" s="246"/>
      <c r="JP22" s="246"/>
      <c r="JQ22" s="246"/>
      <c r="JR22" s="246"/>
      <c r="JS22" s="246"/>
      <c r="JT22" s="246"/>
      <c r="JU22" s="246"/>
      <c r="JV22" s="246"/>
      <c r="JW22" s="246"/>
      <c r="JX22" s="246"/>
      <c r="JY22" s="246"/>
      <c r="JZ22" s="246"/>
      <c r="KA22" s="246"/>
      <c r="KB22" s="246"/>
      <c r="KC22" s="246"/>
      <c r="KD22" s="246"/>
      <c r="KE22" s="246"/>
      <c r="KF22" s="246"/>
      <c r="KG22" s="246"/>
      <c r="KH22" s="246"/>
      <c r="KI22" s="246"/>
      <c r="KJ22" s="246"/>
      <c r="KK22" s="246"/>
      <c r="KL22" s="246"/>
      <c r="KM22" s="246"/>
      <c r="KN22" s="246"/>
      <c r="KO22" s="246"/>
      <c r="KP22" s="246"/>
      <c r="KQ22" s="246"/>
      <c r="KR22" s="246"/>
      <c r="KS22" s="246"/>
      <c r="KT22" s="246"/>
      <c r="KU22" s="246"/>
      <c r="KV22" s="246"/>
      <c r="KW22" s="246"/>
      <c r="KX22" s="246"/>
      <c r="KY22" s="246"/>
      <c r="KZ22" s="246"/>
      <c r="LA22" s="246"/>
      <c r="LB22" s="246"/>
      <c r="LC22" s="246"/>
      <c r="LD22" s="246"/>
      <c r="LE22" s="246"/>
      <c r="LF22" s="246"/>
      <c r="LG22" s="246"/>
      <c r="LH22" s="246"/>
      <c r="LI22" s="246"/>
      <c r="LJ22" s="246"/>
      <c r="LK22" s="246"/>
      <c r="LL22" s="246"/>
      <c r="LM22" s="246"/>
      <c r="LN22" s="246"/>
      <c r="LO22" s="246"/>
      <c r="LP22" s="246"/>
      <c r="LQ22" s="246"/>
      <c r="LR22" s="246"/>
      <c r="LS22" s="246"/>
      <c r="LT22" s="246"/>
      <c r="LU22" s="246"/>
      <c r="LV22" s="246"/>
      <c r="LW22" s="246"/>
      <c r="LX22" s="246"/>
      <c r="LY22" s="246"/>
      <c r="LZ22" s="246"/>
      <c r="MA22" s="246"/>
      <c r="MB22" s="246"/>
      <c r="MC22" s="246"/>
      <c r="MD22" s="246"/>
      <c r="ME22" s="246"/>
      <c r="MF22" s="246"/>
      <c r="MG22" s="246"/>
      <c r="MH22" s="246"/>
      <c r="MI22" s="246"/>
      <c r="MJ22" s="246"/>
      <c r="MK22" s="246"/>
      <c r="ML22" s="246"/>
      <c r="MM22" s="246"/>
      <c r="MN22" s="246"/>
      <c r="MO22" s="246"/>
      <c r="MP22" s="246"/>
      <c r="MQ22" s="246"/>
      <c r="MR22" s="246"/>
      <c r="MS22" s="246"/>
      <c r="MT22" s="246"/>
      <c r="MU22" s="246"/>
      <c r="MV22" s="246"/>
      <c r="MW22" s="246"/>
      <c r="MX22" s="246"/>
      <c r="MY22" s="246"/>
      <c r="MZ22" s="246"/>
      <c r="NA22" s="246"/>
      <c r="NB22" s="246"/>
      <c r="NC22" s="246"/>
      <c r="ND22" s="246"/>
      <c r="NE22" s="246"/>
      <c r="NF22" s="246"/>
      <c r="NG22" s="246"/>
      <c r="NH22" s="246"/>
      <c r="NI22" s="246"/>
      <c r="NJ22" s="246"/>
      <c r="NK22" s="246"/>
      <c r="NL22" s="246"/>
      <c r="NM22" s="246"/>
      <c r="NN22" s="246"/>
      <c r="NO22" s="246"/>
      <c r="NP22" s="246"/>
      <c r="NQ22" s="246"/>
      <c r="NR22" s="246"/>
      <c r="NS22" s="246"/>
      <c r="NT22" s="246"/>
      <c r="NU22" s="246"/>
      <c r="NV22" s="246"/>
      <c r="NW22" s="246"/>
      <c r="NX22" s="246"/>
      <c r="NY22" s="246"/>
      <c r="NZ22" s="246"/>
      <c r="OA22" s="246"/>
      <c r="OB22" s="246"/>
      <c r="OC22" s="246"/>
      <c r="OD22" s="246"/>
      <c r="OE22" s="246"/>
      <c r="OF22" s="246"/>
      <c r="OG22" s="246"/>
      <c r="OH22" s="246"/>
      <c r="OI22" s="246"/>
      <c r="OJ22" s="246"/>
      <c r="OK22" s="246"/>
      <c r="OL22" s="246"/>
      <c r="OM22" s="246"/>
      <c r="ON22" s="246"/>
      <c r="OO22" s="246"/>
      <c r="OP22" s="246"/>
      <c r="OQ22" s="246"/>
      <c r="OR22" s="246"/>
      <c r="OS22" s="246"/>
      <c r="OT22" s="246"/>
      <c r="OU22" s="246"/>
      <c r="OV22" s="246"/>
      <c r="OW22" s="246"/>
      <c r="OX22" s="246"/>
      <c r="OY22" s="246"/>
      <c r="OZ22" s="246"/>
      <c r="PA22" s="246"/>
      <c r="PB22" s="246"/>
      <c r="PC22" s="246"/>
      <c r="PD22" s="246"/>
      <c r="PE22" s="246"/>
      <c r="PF22" s="246"/>
      <c r="PG22" s="246"/>
      <c r="PH22" s="246"/>
      <c r="PI22" s="246"/>
      <c r="PJ22" s="246"/>
      <c r="PK22" s="246"/>
      <c r="PL22" s="246"/>
      <c r="PM22" s="246"/>
      <c r="PN22" s="246"/>
      <c r="PO22" s="246"/>
      <c r="PP22" s="246"/>
      <c r="PQ22" s="246"/>
      <c r="PR22" s="246"/>
      <c r="PS22" s="246"/>
      <c r="PT22" s="246"/>
      <c r="PU22" s="246"/>
      <c r="PV22" s="246"/>
      <c r="PW22" s="246"/>
      <c r="PX22" s="246"/>
      <c r="PY22" s="246"/>
      <c r="PZ22" s="246"/>
      <c r="QA22" s="246"/>
      <c r="QB22" s="246"/>
      <c r="QC22" s="246"/>
      <c r="QD22" s="246"/>
      <c r="QE22" s="246"/>
      <c r="QF22" s="246"/>
      <c r="QG22" s="246"/>
      <c r="QH22" s="246"/>
      <c r="QI22" s="246"/>
      <c r="QJ22" s="246"/>
      <c r="QK22" s="246"/>
      <c r="QL22" s="246"/>
      <c r="QM22" s="246"/>
      <c r="QN22" s="246"/>
      <c r="QO22" s="246"/>
      <c r="QP22" s="246"/>
      <c r="QQ22" s="246"/>
      <c r="QR22" s="246"/>
      <c r="QS22" s="246"/>
      <c r="QT22" s="246"/>
      <c r="QU22" s="246"/>
      <c r="QV22" s="246"/>
      <c r="QW22" s="246"/>
      <c r="QX22" s="246"/>
      <c r="QY22" s="246"/>
      <c r="QZ22" s="246"/>
      <c r="RA22" s="246"/>
      <c r="RB22" s="246"/>
      <c r="RC22" s="246"/>
      <c r="RD22" s="246"/>
      <c r="RE22" s="246"/>
      <c r="RF22" s="246"/>
      <c r="RG22" s="246"/>
      <c r="RH22" s="246"/>
      <c r="RI22" s="246"/>
      <c r="RJ22" s="246"/>
      <c r="RK22" s="246"/>
      <c r="RL22" s="246"/>
      <c r="RM22" s="246"/>
      <c r="RN22" s="246"/>
      <c r="RO22" s="246"/>
      <c r="RP22" s="246"/>
      <c r="RQ22" s="246"/>
      <c r="RR22" s="246"/>
      <c r="RS22" s="246"/>
      <c r="RT22" s="246"/>
      <c r="RU22" s="246"/>
      <c r="RV22" s="246"/>
      <c r="RW22" s="246"/>
      <c r="RX22" s="246"/>
      <c r="RY22" s="246"/>
      <c r="RZ22" s="246"/>
      <c r="SA22" s="246"/>
      <c r="SB22" s="246"/>
      <c r="SC22" s="246"/>
      <c r="SD22" s="246"/>
      <c r="SE22" s="246"/>
      <c r="SF22" s="246"/>
      <c r="SG22" s="246"/>
      <c r="SH22" s="246"/>
      <c r="SI22" s="246"/>
      <c r="SJ22" s="246"/>
      <c r="SK22" s="246"/>
      <c r="SL22" s="246"/>
      <c r="SM22" s="246"/>
      <c r="SN22" s="246"/>
      <c r="SO22" s="246"/>
      <c r="SP22" s="246"/>
      <c r="SQ22" s="246"/>
      <c r="SR22" s="246"/>
      <c r="SS22" s="246"/>
      <c r="ST22" s="246"/>
      <c r="SU22" s="246"/>
      <c r="SV22" s="246"/>
      <c r="SW22" s="246"/>
      <c r="SX22" s="246"/>
      <c r="SY22" s="246"/>
      <c r="SZ22" s="246"/>
      <c r="TA22" s="246"/>
      <c r="TB22" s="246"/>
      <c r="TC22" s="246"/>
      <c r="TD22" s="246"/>
      <c r="TE22" s="246"/>
      <c r="TF22" s="246"/>
      <c r="TG22" s="246"/>
      <c r="TH22" s="246"/>
      <c r="TI22" s="246"/>
      <c r="TJ22" s="246"/>
      <c r="TK22" s="246"/>
      <c r="TL22" s="246"/>
      <c r="TM22" s="246"/>
      <c r="TN22" s="246"/>
      <c r="TO22" s="246"/>
      <c r="TP22" s="246"/>
      <c r="TQ22" s="246"/>
      <c r="TR22" s="246"/>
      <c r="TS22" s="246"/>
      <c r="TT22" s="246"/>
      <c r="TU22" s="246"/>
      <c r="TV22" s="246"/>
      <c r="TW22" s="246"/>
      <c r="TX22" s="246"/>
      <c r="TY22" s="246"/>
      <c r="TZ22" s="246"/>
      <c r="UA22" s="246"/>
      <c r="UB22" s="246"/>
      <c r="UC22" s="246"/>
      <c r="UD22" s="246"/>
      <c r="UE22" s="246"/>
      <c r="UF22" s="246"/>
      <c r="UG22" s="246"/>
      <c r="UH22" s="246"/>
      <c r="UI22" s="246"/>
      <c r="UJ22" s="246"/>
      <c r="UK22" s="246"/>
      <c r="UL22" s="246"/>
      <c r="UM22" s="246"/>
      <c r="UN22" s="246"/>
      <c r="UO22" s="246"/>
      <c r="UP22" s="246"/>
      <c r="UQ22" s="246"/>
      <c r="UR22" s="246"/>
      <c r="US22" s="246"/>
      <c r="UT22" s="246"/>
      <c r="UU22" s="246"/>
      <c r="UV22" s="246"/>
      <c r="UW22" s="246"/>
      <c r="UX22" s="246"/>
      <c r="UY22" s="246"/>
      <c r="UZ22" s="246"/>
      <c r="VA22" s="246"/>
      <c r="VB22" s="246"/>
      <c r="VC22" s="246"/>
      <c r="VD22" s="246"/>
      <c r="VE22" s="246"/>
      <c r="VF22" s="246"/>
      <c r="VG22" s="246"/>
      <c r="VH22" s="246"/>
      <c r="VI22" s="246"/>
      <c r="VJ22" s="246"/>
      <c r="VK22" s="246"/>
      <c r="VL22" s="246"/>
      <c r="VM22" s="246"/>
      <c r="VN22" s="246"/>
      <c r="VO22" s="246"/>
      <c r="VP22" s="246"/>
      <c r="VQ22" s="246"/>
      <c r="VR22" s="246"/>
      <c r="VS22" s="246"/>
      <c r="VT22" s="246"/>
      <c r="VU22" s="246"/>
      <c r="VV22" s="246"/>
      <c r="VW22" s="246"/>
      <c r="VX22" s="246"/>
      <c r="VY22" s="246"/>
      <c r="VZ22" s="246"/>
      <c r="WA22" s="246"/>
      <c r="WB22" s="246"/>
      <c r="WC22" s="246"/>
      <c r="WD22" s="246"/>
      <c r="WE22" s="246"/>
      <c r="WF22" s="246"/>
      <c r="WG22" s="246"/>
      <c r="WH22" s="246"/>
      <c r="WI22" s="246"/>
      <c r="WJ22" s="246"/>
      <c r="WK22" s="246"/>
      <c r="WL22" s="246"/>
      <c r="WM22" s="246"/>
      <c r="WN22" s="246"/>
      <c r="WO22" s="246"/>
      <c r="WP22" s="246"/>
      <c r="WQ22" s="246"/>
      <c r="WR22" s="246"/>
      <c r="WS22" s="246"/>
      <c r="WT22" s="246"/>
      <c r="WU22" s="246"/>
      <c r="WV22" s="246"/>
      <c r="WW22" s="246"/>
      <c r="WX22" s="246"/>
      <c r="WY22" s="246"/>
      <c r="WZ22" s="246"/>
      <c r="XA22" s="246"/>
      <c r="XB22" s="246"/>
      <c r="XC22" s="246"/>
      <c r="XD22" s="246"/>
      <c r="XE22" s="246"/>
      <c r="XF22" s="246"/>
      <c r="XG22" s="246"/>
      <c r="XH22" s="246"/>
      <c r="XI22" s="246"/>
      <c r="XJ22" s="246"/>
      <c r="XK22" s="246"/>
      <c r="XL22" s="246"/>
      <c r="XM22" s="246"/>
      <c r="XN22" s="246"/>
      <c r="XO22" s="246"/>
      <c r="XP22" s="246"/>
      <c r="XQ22" s="246"/>
      <c r="XR22" s="246"/>
      <c r="XS22" s="246"/>
      <c r="XT22" s="246"/>
      <c r="XU22" s="246"/>
      <c r="XV22" s="246"/>
      <c r="XW22" s="246"/>
      <c r="XX22" s="246"/>
      <c r="XY22" s="246"/>
      <c r="XZ22" s="246"/>
      <c r="YA22" s="246"/>
      <c r="YB22" s="246"/>
      <c r="YC22" s="246"/>
      <c r="YD22" s="246"/>
      <c r="YE22" s="246"/>
      <c r="YF22" s="246"/>
      <c r="YG22" s="246"/>
      <c r="YH22" s="246"/>
      <c r="YI22" s="246"/>
      <c r="YJ22" s="246"/>
      <c r="YK22" s="246"/>
      <c r="YL22" s="246"/>
      <c r="YM22" s="246"/>
      <c r="YN22" s="246"/>
      <c r="YO22" s="246"/>
      <c r="YP22" s="246"/>
      <c r="YQ22" s="246"/>
      <c r="YR22" s="246"/>
      <c r="YS22" s="246"/>
      <c r="YT22" s="246"/>
      <c r="YU22" s="246"/>
      <c r="YV22" s="246"/>
      <c r="YW22" s="246"/>
      <c r="YX22" s="246"/>
      <c r="YY22" s="246"/>
      <c r="YZ22" s="246"/>
      <c r="ZA22" s="246"/>
      <c r="ZB22" s="246"/>
      <c r="ZC22" s="246"/>
      <c r="ZD22" s="246"/>
      <c r="ZE22" s="246"/>
      <c r="ZF22" s="246"/>
      <c r="ZG22" s="246"/>
      <c r="ZH22" s="246"/>
      <c r="ZI22" s="246"/>
      <c r="ZJ22" s="246"/>
      <c r="ZK22" s="246"/>
      <c r="ZL22" s="246"/>
      <c r="ZM22" s="246"/>
      <c r="ZN22" s="246"/>
      <c r="ZO22" s="246"/>
      <c r="ZP22" s="246"/>
      <c r="ZQ22" s="246"/>
      <c r="ZR22" s="246"/>
      <c r="ZS22" s="246"/>
      <c r="ZT22" s="246"/>
      <c r="ZU22" s="246"/>
      <c r="ZV22" s="246"/>
      <c r="ZW22" s="246"/>
      <c r="ZX22" s="246"/>
      <c r="ZY22" s="246"/>
      <c r="ZZ22" s="246"/>
      <c r="AAA22" s="246"/>
      <c r="AAB22" s="246"/>
      <c r="AAC22" s="246"/>
      <c r="AAD22" s="246"/>
      <c r="AAE22" s="246"/>
      <c r="AAF22" s="246"/>
      <c r="AAG22" s="246"/>
      <c r="AAH22" s="246"/>
      <c r="AAI22" s="246"/>
      <c r="AAJ22" s="246"/>
      <c r="AAK22" s="246"/>
      <c r="AAL22" s="246"/>
      <c r="AAM22" s="246"/>
      <c r="AAN22" s="246"/>
      <c r="AAO22" s="246"/>
      <c r="AAP22" s="246"/>
      <c r="AAQ22" s="246"/>
      <c r="AAR22" s="246"/>
      <c r="AAS22" s="246"/>
      <c r="AAT22" s="246"/>
      <c r="AAU22" s="246"/>
      <c r="AAV22" s="246"/>
      <c r="AAW22" s="246"/>
      <c r="AAX22" s="246"/>
      <c r="AAY22" s="246"/>
      <c r="AAZ22" s="246"/>
      <c r="ABA22" s="246"/>
      <c r="ABB22" s="246"/>
      <c r="ABC22" s="246"/>
      <c r="ABD22" s="246"/>
      <c r="ABE22" s="246"/>
      <c r="ABF22" s="246"/>
      <c r="ABG22" s="246"/>
      <c r="ABH22" s="246"/>
      <c r="ABI22" s="246"/>
      <c r="ABJ22" s="246"/>
      <c r="ABK22" s="246"/>
      <c r="ABL22" s="246"/>
      <c r="ABM22" s="246"/>
      <c r="ABN22" s="246"/>
      <c r="ABO22" s="246"/>
      <c r="ABP22" s="246"/>
      <c r="ABQ22" s="246"/>
      <c r="ABR22" s="246"/>
      <c r="ABS22" s="246"/>
      <c r="ABT22" s="246"/>
      <c r="ABU22" s="246"/>
      <c r="ABV22" s="246"/>
      <c r="ABW22" s="246"/>
      <c r="ABX22" s="246"/>
      <c r="ABY22" s="246"/>
      <c r="ABZ22" s="246"/>
      <c r="ACA22" s="246"/>
      <c r="ACB22" s="246"/>
      <c r="ACC22" s="246"/>
      <c r="ACD22" s="246"/>
      <c r="ACE22" s="246"/>
      <c r="ACF22" s="246"/>
      <c r="ACG22" s="246"/>
      <c r="ACH22" s="246"/>
      <c r="ACI22" s="246"/>
      <c r="ACJ22" s="246"/>
      <c r="ACK22" s="246"/>
      <c r="ACL22" s="246"/>
      <c r="ACM22" s="246"/>
      <c r="ACN22" s="246"/>
      <c r="ACO22" s="246"/>
      <c r="ACP22" s="246"/>
      <c r="ACQ22" s="246"/>
      <c r="ACR22" s="246"/>
      <c r="ACS22" s="246"/>
      <c r="ACT22" s="246"/>
      <c r="ACU22" s="246"/>
      <c r="ACV22" s="246"/>
      <c r="ACW22" s="246"/>
      <c r="ACX22" s="246"/>
      <c r="ACY22" s="246"/>
      <c r="ACZ22" s="246"/>
      <c r="ADA22" s="246"/>
      <c r="ADB22" s="246"/>
      <c r="ADC22" s="246"/>
      <c r="ADD22" s="246"/>
      <c r="ADE22" s="246"/>
      <c r="ADF22" s="246"/>
      <c r="ADG22" s="246"/>
      <c r="ADH22" s="246"/>
      <c r="ADI22" s="246"/>
      <c r="ADJ22" s="246"/>
      <c r="ADK22" s="246"/>
      <c r="ADL22" s="246"/>
      <c r="ADM22" s="246"/>
      <c r="ADN22" s="246"/>
      <c r="ADO22" s="246"/>
      <c r="ADP22" s="246"/>
      <c r="ADQ22" s="246"/>
      <c r="ADR22" s="246"/>
      <c r="ADS22" s="246"/>
      <c r="ADT22" s="246"/>
      <c r="ADU22" s="246"/>
      <c r="ADV22" s="246"/>
      <c r="ADW22" s="246"/>
      <c r="ADX22" s="246"/>
      <c r="ADY22" s="246"/>
      <c r="ADZ22" s="246"/>
      <c r="AEA22" s="246"/>
      <c r="AEB22" s="246"/>
      <c r="AEC22" s="246"/>
      <c r="AED22" s="246"/>
      <c r="AEE22" s="246"/>
      <c r="AEF22" s="246"/>
      <c r="AEG22" s="246"/>
      <c r="AEH22" s="246"/>
      <c r="AEI22" s="246"/>
      <c r="AEJ22" s="246"/>
      <c r="AEK22" s="246"/>
      <c r="AEL22" s="246"/>
      <c r="AEM22" s="246"/>
      <c r="AEN22" s="246"/>
      <c r="AEO22" s="246"/>
      <c r="AEP22" s="246"/>
      <c r="AEQ22" s="246"/>
      <c r="AER22" s="246"/>
      <c r="AES22" s="246"/>
      <c r="AET22" s="246"/>
      <c r="AEU22" s="246"/>
      <c r="AEV22" s="246"/>
      <c r="AEW22" s="246"/>
      <c r="AEX22" s="246"/>
      <c r="AEY22" s="246"/>
      <c r="AEZ22" s="246"/>
      <c r="AFA22" s="246"/>
      <c r="AFB22" s="246"/>
      <c r="AFC22" s="246"/>
      <c r="AFD22" s="246"/>
      <c r="AFE22" s="246"/>
      <c r="AFF22" s="246"/>
      <c r="AFG22" s="246"/>
      <c r="AFH22" s="246"/>
      <c r="AFI22" s="246"/>
      <c r="AFJ22" s="246"/>
      <c r="AFK22" s="246"/>
      <c r="AFL22" s="246"/>
      <c r="AFM22" s="246"/>
      <c r="AFN22" s="246"/>
      <c r="AFO22" s="246"/>
      <c r="AFP22" s="246"/>
      <c r="AFQ22" s="246"/>
      <c r="AFR22" s="246"/>
      <c r="AFS22" s="246"/>
      <c r="AFT22" s="246"/>
      <c r="AFU22" s="246"/>
      <c r="AFV22" s="246"/>
      <c r="AFW22" s="246"/>
      <c r="AFX22" s="246"/>
      <c r="AFY22" s="246"/>
      <c r="AFZ22" s="246"/>
      <c r="AGA22" s="246"/>
      <c r="AGB22" s="246"/>
    </row>
    <row r="23" spans="1:861" s="256" customFormat="1" ht="14.25" customHeight="1" x14ac:dyDescent="0.25">
      <c r="A23" s="367">
        <v>9718</v>
      </c>
      <c r="B23" s="183" t="s">
        <v>63</v>
      </c>
      <c r="C23" s="301">
        <v>45812</v>
      </c>
      <c r="D23" s="301" t="s">
        <v>51</v>
      </c>
      <c r="E23" s="301">
        <v>45201</v>
      </c>
      <c r="F23" s="302" t="s">
        <v>51</v>
      </c>
      <c r="G23" s="302" t="s">
        <v>51</v>
      </c>
      <c r="H23" s="301">
        <v>45812</v>
      </c>
      <c r="I23" s="189"/>
      <c r="J23" s="183" t="s">
        <v>230</v>
      </c>
      <c r="K23" s="175" t="s">
        <v>419</v>
      </c>
      <c r="L23" s="175" t="s">
        <v>97</v>
      </c>
      <c r="M23" s="177">
        <f t="shared" si="6"/>
        <v>44943</v>
      </c>
      <c r="N23" s="179">
        <v>7048930222</v>
      </c>
      <c r="O23" s="183"/>
      <c r="P23" s="19" t="s">
        <v>420</v>
      </c>
      <c r="Q23" s="175" t="s">
        <v>64</v>
      </c>
      <c r="R23" s="183" t="s">
        <v>58</v>
      </c>
      <c r="S23" s="175" t="s">
        <v>59</v>
      </c>
      <c r="T23" s="181" t="s">
        <v>150</v>
      </c>
      <c r="U23" s="20"/>
      <c r="V23" s="20" t="s">
        <v>67</v>
      </c>
      <c r="W23" s="20">
        <v>3884</v>
      </c>
      <c r="X23" s="20"/>
      <c r="Y23" s="184">
        <v>70</v>
      </c>
      <c r="Z23" s="184">
        <v>70</v>
      </c>
      <c r="AA23" s="185">
        <v>7.21</v>
      </c>
      <c r="AB23" s="182">
        <v>504.7</v>
      </c>
      <c r="AC23" s="20"/>
      <c r="AD23" s="283">
        <v>114571</v>
      </c>
      <c r="AE23" s="301">
        <v>45812</v>
      </c>
      <c r="AF23" s="296">
        <v>45813</v>
      </c>
      <c r="AG23" s="296">
        <v>45838</v>
      </c>
      <c r="AH23" s="296">
        <v>45839</v>
      </c>
      <c r="AI23" s="353" t="s">
        <v>552</v>
      </c>
      <c r="AJ23" s="121"/>
      <c r="AK23" s="144" t="s">
        <v>62</v>
      </c>
      <c r="AL23" s="246"/>
      <c r="AM23" s="290"/>
      <c r="AN23" s="290"/>
      <c r="AO23" s="321"/>
      <c r="AP23" s="321">
        <f t="shared" si="5"/>
        <v>23</v>
      </c>
    </row>
    <row r="24" spans="1:861" ht="14.25" customHeight="1" x14ac:dyDescent="0.25">
      <c r="A24" s="367">
        <v>9719</v>
      </c>
      <c r="B24" s="167" t="s">
        <v>63</v>
      </c>
      <c r="C24" s="304">
        <v>45813</v>
      </c>
      <c r="D24" s="306">
        <v>45727</v>
      </c>
      <c r="E24" s="305" t="s">
        <v>51</v>
      </c>
      <c r="F24" s="316">
        <v>45727</v>
      </c>
      <c r="G24" s="316">
        <v>45813</v>
      </c>
      <c r="H24" s="304">
        <v>45813</v>
      </c>
      <c r="J24" s="152" t="s">
        <v>489</v>
      </c>
      <c r="K24" s="144" t="s">
        <v>490</v>
      </c>
      <c r="L24" s="144" t="s">
        <v>485</v>
      </c>
      <c r="M24" s="207">
        <f t="shared" si="6"/>
        <v>45747</v>
      </c>
      <c r="N24" s="208" t="s">
        <v>491</v>
      </c>
      <c r="P24" s="21" t="s">
        <v>492</v>
      </c>
      <c r="Q24" s="144" t="s">
        <v>71</v>
      </c>
      <c r="R24" s="152" t="s">
        <v>58</v>
      </c>
      <c r="S24" s="193" t="s">
        <v>275</v>
      </c>
      <c r="T24" s="144" t="s">
        <v>553</v>
      </c>
      <c r="V24" s="167" t="s">
        <v>61</v>
      </c>
      <c r="W24" s="197" t="s">
        <v>493</v>
      </c>
      <c r="Y24" s="209">
        <v>50</v>
      </c>
      <c r="Z24" s="218" t="s">
        <v>377</v>
      </c>
      <c r="AA24" s="210">
        <v>74.739999999999995</v>
      </c>
      <c r="AB24" s="168">
        <f t="shared" ref="AB24:AB28" si="7">AA24*Y24+AC24</f>
        <v>3736.9999999999995</v>
      </c>
      <c r="AD24" s="284">
        <v>4500336094</v>
      </c>
      <c r="AE24" s="304">
        <v>45812</v>
      </c>
      <c r="AF24" s="304">
        <v>45813</v>
      </c>
      <c r="AG24" s="304">
        <v>45854</v>
      </c>
      <c r="AH24" s="304">
        <v>45855</v>
      </c>
      <c r="AI24" s="355" t="s">
        <v>554</v>
      </c>
      <c r="AK24" s="144" t="s">
        <v>483</v>
      </c>
      <c r="AP24" s="321">
        <f t="shared" si="5"/>
        <v>23</v>
      </c>
    </row>
    <row r="25" spans="1:861" s="375" customFormat="1" ht="14.25" customHeight="1" x14ac:dyDescent="0.25">
      <c r="A25" s="367">
        <v>9720</v>
      </c>
      <c r="B25" s="167" t="s">
        <v>63</v>
      </c>
      <c r="C25" s="296">
        <v>45813</v>
      </c>
      <c r="D25" s="306">
        <v>45747</v>
      </c>
      <c r="E25" s="306" t="s">
        <v>51</v>
      </c>
      <c r="F25" s="316">
        <v>45747</v>
      </c>
      <c r="G25" s="316">
        <v>45748</v>
      </c>
      <c r="H25" s="296">
        <v>45813</v>
      </c>
      <c r="I25" s="211"/>
      <c r="J25" s="152" t="s">
        <v>489</v>
      </c>
      <c r="K25" s="144" t="s">
        <v>490</v>
      </c>
      <c r="L25" s="144" t="s">
        <v>485</v>
      </c>
      <c r="M25" s="207">
        <f t="shared" si="6"/>
        <v>45747</v>
      </c>
      <c r="N25" s="208" t="s">
        <v>491</v>
      </c>
      <c r="O25" s="144"/>
      <c r="P25" s="21" t="s">
        <v>492</v>
      </c>
      <c r="Q25" s="144" t="s">
        <v>71</v>
      </c>
      <c r="R25" s="152" t="s">
        <v>58</v>
      </c>
      <c r="S25" s="193" t="s">
        <v>275</v>
      </c>
      <c r="T25" s="369" t="s">
        <v>507</v>
      </c>
      <c r="U25" s="152"/>
      <c r="V25" s="152" t="s">
        <v>61</v>
      </c>
      <c r="W25" s="152" t="s">
        <v>498</v>
      </c>
      <c r="X25" s="152"/>
      <c r="Y25" s="209">
        <v>50</v>
      </c>
      <c r="Z25" s="209">
        <v>50</v>
      </c>
      <c r="AA25" s="210">
        <v>21.77</v>
      </c>
      <c r="AB25" s="168">
        <f t="shared" si="7"/>
        <v>1088.5</v>
      </c>
      <c r="AC25" s="144"/>
      <c r="AD25" s="284">
        <v>4500336094</v>
      </c>
      <c r="AE25" s="304">
        <v>45812</v>
      </c>
      <c r="AF25" s="304">
        <v>45813</v>
      </c>
      <c r="AG25" s="304">
        <v>45854</v>
      </c>
      <c r="AH25" s="304">
        <v>45855</v>
      </c>
      <c r="AI25" s="355" t="s">
        <v>555</v>
      </c>
      <c r="AJ25" s="206"/>
      <c r="AK25" s="144" t="s">
        <v>483</v>
      </c>
      <c r="AL25" s="246"/>
      <c r="AM25" s="290"/>
      <c r="AN25" s="290"/>
      <c r="AO25" s="321"/>
      <c r="AP25" s="321">
        <f t="shared" si="5"/>
        <v>23</v>
      </c>
      <c r="AQ25" s="248"/>
      <c r="AR25" s="248"/>
      <c r="AS25" s="248"/>
      <c r="AT25" s="248"/>
      <c r="AU25" s="248"/>
      <c r="AV25" s="248"/>
      <c r="AW25" s="248"/>
      <c r="AX25" s="248"/>
      <c r="AY25" s="248"/>
      <c r="AZ25" s="248"/>
      <c r="BA25" s="248"/>
      <c r="BB25" s="248"/>
      <c r="BC25" s="248"/>
      <c r="BD25" s="248"/>
      <c r="BE25" s="248"/>
      <c r="BF25" s="248"/>
      <c r="BG25" s="248"/>
      <c r="BH25" s="248"/>
      <c r="BI25" s="248"/>
      <c r="BJ25" s="248"/>
      <c r="BK25" s="248"/>
      <c r="BL25" s="248"/>
      <c r="BM25" s="248"/>
      <c r="BN25" s="248"/>
      <c r="BO25" s="248"/>
      <c r="BP25" s="248"/>
      <c r="BQ25" s="248"/>
      <c r="BR25" s="248"/>
      <c r="BS25" s="248"/>
      <c r="BT25" s="248"/>
      <c r="BU25" s="248"/>
      <c r="BV25" s="248"/>
      <c r="BW25" s="248"/>
      <c r="BX25" s="248"/>
      <c r="BY25" s="248"/>
      <c r="BZ25" s="248"/>
      <c r="CA25" s="248"/>
      <c r="CB25" s="248"/>
      <c r="CC25" s="248"/>
      <c r="CD25" s="248"/>
      <c r="CE25" s="248"/>
      <c r="CF25" s="248"/>
      <c r="CG25" s="248"/>
      <c r="CH25" s="248"/>
      <c r="CI25" s="248"/>
      <c r="CJ25" s="248"/>
      <c r="CK25" s="248"/>
      <c r="CL25" s="248"/>
      <c r="CM25" s="248"/>
      <c r="CN25" s="248"/>
      <c r="CO25" s="248"/>
      <c r="CP25" s="248"/>
      <c r="CQ25" s="248"/>
      <c r="CR25" s="248"/>
      <c r="CS25" s="248"/>
      <c r="CT25" s="248"/>
      <c r="CU25" s="248"/>
      <c r="CV25" s="248"/>
      <c r="CW25" s="248"/>
      <c r="CX25" s="248"/>
      <c r="CY25" s="248"/>
      <c r="CZ25" s="248"/>
      <c r="DA25" s="248"/>
      <c r="DB25" s="248"/>
      <c r="DC25" s="248"/>
      <c r="DD25" s="248"/>
      <c r="DE25" s="248"/>
      <c r="DF25" s="248"/>
      <c r="DG25" s="248"/>
      <c r="DH25" s="248"/>
      <c r="DI25" s="248"/>
      <c r="DJ25" s="248"/>
      <c r="DK25" s="248"/>
      <c r="DL25" s="248"/>
      <c r="DM25" s="248"/>
      <c r="DN25" s="248"/>
      <c r="DO25" s="248"/>
      <c r="DP25" s="248"/>
      <c r="DQ25" s="248"/>
      <c r="DR25" s="248"/>
      <c r="DS25" s="248"/>
      <c r="DT25" s="248"/>
      <c r="DU25" s="248"/>
      <c r="DV25" s="248"/>
      <c r="DW25" s="248"/>
      <c r="DX25" s="248"/>
      <c r="DY25" s="248"/>
      <c r="DZ25" s="248"/>
      <c r="EA25" s="248"/>
      <c r="EB25" s="248"/>
      <c r="EC25" s="248"/>
      <c r="ED25" s="248"/>
      <c r="EE25" s="248"/>
      <c r="EF25" s="248"/>
      <c r="EG25" s="248"/>
      <c r="EH25" s="248"/>
      <c r="EI25" s="248"/>
      <c r="EJ25" s="248"/>
      <c r="EK25" s="248"/>
      <c r="EL25" s="248"/>
      <c r="EM25" s="248"/>
      <c r="EN25" s="248"/>
      <c r="EO25" s="248"/>
      <c r="EP25" s="248"/>
      <c r="EQ25" s="248"/>
      <c r="ER25" s="248"/>
      <c r="ES25" s="248"/>
      <c r="ET25" s="248"/>
      <c r="EU25" s="248"/>
      <c r="EV25" s="248"/>
      <c r="EW25" s="248"/>
      <c r="EX25" s="248"/>
      <c r="EY25" s="248"/>
      <c r="EZ25" s="248"/>
      <c r="FA25" s="248"/>
      <c r="FB25" s="248"/>
      <c r="FC25" s="248"/>
      <c r="FD25" s="248"/>
      <c r="FE25" s="248"/>
      <c r="FF25" s="248"/>
      <c r="FG25" s="248"/>
      <c r="FH25" s="248"/>
      <c r="FI25" s="248"/>
      <c r="FJ25" s="248"/>
      <c r="FK25" s="248"/>
      <c r="FL25" s="248"/>
      <c r="FM25" s="248"/>
      <c r="FN25" s="248"/>
      <c r="FO25" s="248"/>
      <c r="FP25" s="248"/>
      <c r="FQ25" s="248"/>
      <c r="FR25" s="248"/>
      <c r="FS25" s="248"/>
      <c r="FT25" s="248"/>
      <c r="FU25" s="248"/>
      <c r="FV25" s="248"/>
      <c r="FW25" s="248"/>
      <c r="FX25" s="248"/>
      <c r="FY25" s="248"/>
      <c r="FZ25" s="248"/>
      <c r="GA25" s="248"/>
      <c r="GB25" s="248"/>
      <c r="GC25" s="248"/>
      <c r="GD25" s="248"/>
      <c r="GE25" s="248"/>
      <c r="GF25" s="248"/>
      <c r="GG25" s="248"/>
      <c r="GH25" s="248"/>
      <c r="GI25" s="248"/>
      <c r="GJ25" s="248"/>
      <c r="GK25" s="248"/>
      <c r="GL25" s="248"/>
      <c r="GM25" s="248"/>
      <c r="GN25" s="248"/>
      <c r="GO25" s="248"/>
      <c r="GP25" s="248"/>
      <c r="GQ25" s="248"/>
      <c r="GR25" s="248"/>
      <c r="GS25" s="248"/>
      <c r="GT25" s="248"/>
      <c r="GU25" s="248"/>
      <c r="GV25" s="248"/>
      <c r="GW25" s="248"/>
      <c r="GX25" s="248"/>
      <c r="GY25" s="248"/>
      <c r="GZ25" s="248"/>
      <c r="HA25" s="248"/>
      <c r="HB25" s="248"/>
      <c r="HC25" s="248"/>
      <c r="HD25" s="248"/>
      <c r="HE25" s="248"/>
      <c r="HF25" s="248"/>
      <c r="HG25" s="248"/>
      <c r="HH25" s="248"/>
      <c r="HI25" s="248"/>
      <c r="HJ25" s="248"/>
      <c r="HK25" s="248"/>
      <c r="HL25" s="248"/>
      <c r="HM25" s="248"/>
      <c r="HN25" s="248"/>
      <c r="HO25" s="248"/>
      <c r="HP25" s="248"/>
      <c r="HQ25" s="248"/>
      <c r="HR25" s="248"/>
      <c r="HS25" s="248"/>
      <c r="HT25" s="248"/>
      <c r="HU25" s="248"/>
      <c r="HV25" s="248"/>
      <c r="HW25" s="248"/>
      <c r="HX25" s="248"/>
      <c r="HY25" s="248"/>
      <c r="HZ25" s="248"/>
      <c r="IA25" s="248"/>
      <c r="IB25" s="248"/>
      <c r="IC25" s="248"/>
      <c r="ID25" s="248"/>
      <c r="IE25" s="248"/>
      <c r="IF25" s="248"/>
      <c r="IG25" s="248"/>
      <c r="IH25" s="248"/>
      <c r="II25" s="248"/>
      <c r="IJ25" s="248"/>
      <c r="IK25" s="248"/>
      <c r="IL25" s="248"/>
      <c r="IM25" s="248"/>
      <c r="IN25" s="248"/>
      <c r="IO25" s="248"/>
      <c r="IP25" s="248"/>
      <c r="IQ25" s="248"/>
      <c r="IR25" s="248"/>
      <c r="IS25" s="248"/>
      <c r="IT25" s="248"/>
      <c r="IU25" s="248"/>
      <c r="IV25" s="248"/>
      <c r="IW25" s="248"/>
      <c r="IX25" s="248"/>
      <c r="IY25" s="248"/>
      <c r="IZ25" s="248"/>
      <c r="JA25" s="248"/>
      <c r="JB25" s="248"/>
      <c r="JC25" s="248"/>
      <c r="JD25" s="248"/>
      <c r="JE25" s="248"/>
      <c r="JF25" s="248"/>
      <c r="JG25" s="248"/>
      <c r="JH25" s="248"/>
      <c r="JI25" s="248"/>
      <c r="JJ25" s="248"/>
      <c r="JK25" s="248"/>
      <c r="JL25" s="248"/>
      <c r="JM25" s="248"/>
      <c r="JN25" s="248"/>
      <c r="JO25" s="248"/>
      <c r="JP25" s="248"/>
      <c r="JQ25" s="248"/>
      <c r="JR25" s="248"/>
      <c r="JS25" s="248"/>
      <c r="JT25" s="248"/>
      <c r="JU25" s="248"/>
      <c r="JV25" s="248"/>
      <c r="JW25" s="248"/>
      <c r="JX25" s="248"/>
      <c r="JY25" s="248"/>
      <c r="JZ25" s="248"/>
      <c r="KA25" s="248"/>
      <c r="KB25" s="248"/>
      <c r="KC25" s="248"/>
      <c r="KD25" s="248"/>
      <c r="KE25" s="248"/>
      <c r="KF25" s="248"/>
      <c r="KG25" s="248"/>
      <c r="KH25" s="248"/>
      <c r="KI25" s="248"/>
      <c r="KJ25" s="248"/>
      <c r="KK25" s="248"/>
      <c r="KL25" s="248"/>
      <c r="KM25" s="248"/>
      <c r="KN25" s="248"/>
      <c r="KO25" s="248"/>
      <c r="KP25" s="248"/>
      <c r="KQ25" s="248"/>
      <c r="KR25" s="248"/>
      <c r="KS25" s="248"/>
      <c r="KT25" s="248"/>
      <c r="KU25" s="248"/>
      <c r="KV25" s="248"/>
      <c r="KW25" s="248"/>
      <c r="KX25" s="248"/>
      <c r="KY25" s="248"/>
      <c r="KZ25" s="248"/>
      <c r="LA25" s="248"/>
      <c r="LB25" s="248"/>
      <c r="LC25" s="248"/>
      <c r="LD25" s="248"/>
      <c r="LE25" s="248"/>
      <c r="LF25" s="248"/>
      <c r="LG25" s="248"/>
      <c r="LH25" s="248"/>
      <c r="LI25" s="248"/>
      <c r="LJ25" s="248"/>
      <c r="LK25" s="248"/>
      <c r="LL25" s="248"/>
      <c r="LM25" s="248"/>
      <c r="LN25" s="248"/>
      <c r="LO25" s="248"/>
      <c r="LP25" s="248"/>
      <c r="LQ25" s="248"/>
      <c r="LR25" s="248"/>
      <c r="LS25" s="248"/>
      <c r="LT25" s="248"/>
      <c r="LU25" s="248"/>
      <c r="LV25" s="248"/>
      <c r="LW25" s="248"/>
      <c r="LX25" s="248"/>
      <c r="LY25" s="248"/>
      <c r="LZ25" s="248"/>
      <c r="MA25" s="248"/>
      <c r="MB25" s="248"/>
      <c r="MC25" s="248"/>
      <c r="MD25" s="248"/>
      <c r="ME25" s="248"/>
      <c r="MF25" s="248"/>
      <c r="MG25" s="248"/>
      <c r="MH25" s="248"/>
      <c r="MI25" s="248"/>
      <c r="MJ25" s="248"/>
      <c r="MK25" s="248"/>
      <c r="ML25" s="248"/>
      <c r="MM25" s="248"/>
      <c r="MN25" s="248"/>
      <c r="MO25" s="248"/>
      <c r="MP25" s="248"/>
      <c r="MQ25" s="248"/>
      <c r="MR25" s="248"/>
      <c r="MS25" s="248"/>
      <c r="MT25" s="248"/>
      <c r="MU25" s="248"/>
      <c r="MV25" s="248"/>
      <c r="MW25" s="248"/>
      <c r="MX25" s="248"/>
      <c r="MY25" s="248"/>
      <c r="MZ25" s="248"/>
      <c r="NA25" s="248"/>
      <c r="NB25" s="248"/>
      <c r="NC25" s="248"/>
      <c r="ND25" s="248"/>
      <c r="NE25" s="248"/>
      <c r="NF25" s="248"/>
      <c r="NG25" s="248"/>
      <c r="NH25" s="248"/>
      <c r="NI25" s="248"/>
      <c r="NJ25" s="248"/>
      <c r="NK25" s="248"/>
      <c r="NL25" s="248"/>
      <c r="NM25" s="248"/>
      <c r="NN25" s="248"/>
      <c r="NO25" s="248"/>
      <c r="NP25" s="248"/>
      <c r="NQ25" s="248"/>
      <c r="NR25" s="248"/>
      <c r="NS25" s="248"/>
      <c r="NT25" s="248"/>
      <c r="NU25" s="248"/>
      <c r="NV25" s="248"/>
      <c r="NW25" s="248"/>
      <c r="NX25" s="248"/>
      <c r="NY25" s="248"/>
      <c r="NZ25" s="248"/>
      <c r="OA25" s="248"/>
      <c r="OB25" s="248"/>
      <c r="OC25" s="248"/>
      <c r="OD25" s="248"/>
      <c r="OE25" s="248"/>
      <c r="OF25" s="248"/>
      <c r="OG25" s="248"/>
      <c r="OH25" s="248"/>
      <c r="OI25" s="248"/>
      <c r="OJ25" s="248"/>
      <c r="OK25" s="248"/>
      <c r="OL25" s="248"/>
      <c r="OM25" s="248"/>
      <c r="ON25" s="248"/>
      <c r="OO25" s="248"/>
      <c r="OP25" s="248"/>
      <c r="OQ25" s="248"/>
      <c r="OR25" s="248"/>
      <c r="OS25" s="248"/>
      <c r="OT25" s="248"/>
      <c r="OU25" s="248"/>
      <c r="OV25" s="248"/>
      <c r="OW25" s="248"/>
      <c r="OX25" s="248"/>
      <c r="OY25" s="248"/>
      <c r="OZ25" s="248"/>
      <c r="PA25" s="248"/>
      <c r="PB25" s="248"/>
      <c r="PC25" s="248"/>
      <c r="PD25" s="248"/>
      <c r="PE25" s="248"/>
      <c r="PF25" s="248"/>
      <c r="PG25" s="248"/>
      <c r="PH25" s="248"/>
      <c r="PI25" s="248"/>
      <c r="PJ25" s="248"/>
      <c r="PK25" s="248"/>
      <c r="PL25" s="248"/>
      <c r="PM25" s="248"/>
      <c r="PN25" s="248"/>
      <c r="PO25" s="248"/>
      <c r="PP25" s="248"/>
      <c r="PQ25" s="248"/>
      <c r="PR25" s="248"/>
      <c r="PS25" s="248"/>
      <c r="PT25" s="248"/>
      <c r="PU25" s="248"/>
      <c r="PV25" s="248"/>
      <c r="PW25" s="248"/>
      <c r="PX25" s="248"/>
      <c r="PY25" s="248"/>
      <c r="PZ25" s="248"/>
      <c r="QA25" s="248"/>
      <c r="QB25" s="248"/>
      <c r="QC25" s="248"/>
      <c r="QD25" s="248"/>
      <c r="QE25" s="248"/>
      <c r="QF25" s="248"/>
      <c r="QG25" s="248"/>
      <c r="QH25" s="248"/>
      <c r="QI25" s="248"/>
      <c r="QJ25" s="248"/>
      <c r="QK25" s="248"/>
      <c r="QL25" s="248"/>
      <c r="QM25" s="248"/>
      <c r="QN25" s="248"/>
      <c r="QO25" s="248"/>
      <c r="QP25" s="248"/>
      <c r="QQ25" s="248"/>
      <c r="QR25" s="248"/>
      <c r="QS25" s="248"/>
      <c r="QT25" s="248"/>
      <c r="QU25" s="248"/>
      <c r="QV25" s="248"/>
      <c r="QW25" s="248"/>
      <c r="QX25" s="248"/>
      <c r="QY25" s="248"/>
      <c r="QZ25" s="248"/>
      <c r="RA25" s="248"/>
      <c r="RB25" s="248"/>
      <c r="RC25" s="248"/>
      <c r="RD25" s="248"/>
      <c r="RE25" s="248"/>
      <c r="RF25" s="248"/>
      <c r="RG25" s="248"/>
      <c r="RH25" s="248"/>
      <c r="RI25" s="248"/>
      <c r="RJ25" s="248"/>
      <c r="RK25" s="248"/>
      <c r="RL25" s="248"/>
      <c r="RM25" s="248"/>
      <c r="RN25" s="248"/>
      <c r="RO25" s="248"/>
      <c r="RP25" s="248"/>
      <c r="RQ25" s="248"/>
      <c r="RR25" s="248"/>
      <c r="RS25" s="248"/>
      <c r="RT25" s="248"/>
      <c r="RU25" s="248"/>
      <c r="RV25" s="248"/>
      <c r="RW25" s="248"/>
      <c r="RX25" s="248"/>
      <c r="RY25" s="248"/>
      <c r="RZ25" s="248"/>
      <c r="SA25" s="248"/>
      <c r="SB25" s="248"/>
      <c r="SC25" s="248"/>
      <c r="SD25" s="248"/>
      <c r="SE25" s="248"/>
      <c r="SF25" s="248"/>
      <c r="SG25" s="248"/>
      <c r="SH25" s="248"/>
      <c r="SI25" s="248"/>
      <c r="SJ25" s="248"/>
      <c r="SK25" s="248"/>
      <c r="SL25" s="248"/>
      <c r="SM25" s="248"/>
      <c r="SN25" s="248"/>
      <c r="SO25" s="248"/>
      <c r="SP25" s="248"/>
      <c r="SQ25" s="248"/>
      <c r="SR25" s="248"/>
      <c r="SS25" s="248"/>
      <c r="ST25" s="248"/>
      <c r="SU25" s="248"/>
      <c r="SV25" s="248"/>
      <c r="SW25" s="248"/>
      <c r="SX25" s="248"/>
      <c r="SY25" s="248"/>
      <c r="SZ25" s="248"/>
      <c r="TA25" s="248"/>
      <c r="TB25" s="248"/>
      <c r="TC25" s="248"/>
      <c r="TD25" s="248"/>
      <c r="TE25" s="248"/>
      <c r="TF25" s="248"/>
      <c r="TG25" s="248"/>
      <c r="TH25" s="248"/>
      <c r="TI25" s="248"/>
      <c r="TJ25" s="248"/>
      <c r="TK25" s="248"/>
      <c r="TL25" s="248"/>
      <c r="TM25" s="248"/>
      <c r="TN25" s="248"/>
      <c r="TO25" s="248"/>
      <c r="TP25" s="248"/>
      <c r="TQ25" s="248"/>
      <c r="TR25" s="248"/>
      <c r="TS25" s="248"/>
      <c r="TT25" s="248"/>
      <c r="TU25" s="248"/>
      <c r="TV25" s="248"/>
      <c r="TW25" s="248"/>
      <c r="TX25" s="248"/>
      <c r="TY25" s="248"/>
      <c r="TZ25" s="248"/>
      <c r="UA25" s="248"/>
      <c r="UB25" s="248"/>
      <c r="UC25" s="248"/>
      <c r="UD25" s="248"/>
      <c r="UE25" s="248"/>
      <c r="UF25" s="248"/>
      <c r="UG25" s="248"/>
      <c r="UH25" s="248"/>
      <c r="UI25" s="248"/>
      <c r="UJ25" s="248"/>
      <c r="UK25" s="248"/>
      <c r="UL25" s="248"/>
      <c r="UM25" s="248"/>
      <c r="UN25" s="248"/>
      <c r="UO25" s="248"/>
      <c r="UP25" s="248"/>
      <c r="UQ25" s="248"/>
      <c r="UR25" s="248"/>
      <c r="US25" s="248"/>
      <c r="UT25" s="248"/>
      <c r="UU25" s="248"/>
      <c r="UV25" s="248"/>
      <c r="UW25" s="248"/>
      <c r="UX25" s="248"/>
      <c r="UY25" s="248"/>
      <c r="UZ25" s="248"/>
      <c r="VA25" s="248"/>
      <c r="VB25" s="248"/>
      <c r="VC25" s="248"/>
      <c r="VD25" s="248"/>
      <c r="VE25" s="248"/>
      <c r="VF25" s="248"/>
      <c r="VG25" s="248"/>
      <c r="VH25" s="248"/>
      <c r="VI25" s="248"/>
      <c r="VJ25" s="248"/>
      <c r="VK25" s="248"/>
      <c r="VL25" s="248"/>
      <c r="VM25" s="248"/>
      <c r="VN25" s="248"/>
      <c r="VO25" s="248"/>
      <c r="VP25" s="248"/>
      <c r="VQ25" s="248"/>
      <c r="VR25" s="248"/>
      <c r="VS25" s="248"/>
      <c r="VT25" s="248"/>
      <c r="VU25" s="248"/>
      <c r="VV25" s="248"/>
      <c r="VW25" s="248"/>
      <c r="VX25" s="248"/>
      <c r="VY25" s="248"/>
      <c r="VZ25" s="248"/>
      <c r="WA25" s="248"/>
      <c r="WB25" s="248"/>
      <c r="WC25" s="248"/>
      <c r="WD25" s="248"/>
      <c r="WE25" s="248"/>
      <c r="WF25" s="248"/>
      <c r="WG25" s="248"/>
      <c r="WH25" s="248"/>
      <c r="WI25" s="248"/>
      <c r="WJ25" s="248"/>
      <c r="WK25" s="248"/>
      <c r="WL25" s="248"/>
      <c r="WM25" s="248"/>
      <c r="WN25" s="248"/>
      <c r="WO25" s="248"/>
      <c r="WP25" s="248"/>
      <c r="WQ25" s="248"/>
      <c r="WR25" s="248"/>
      <c r="WS25" s="248"/>
      <c r="WT25" s="248"/>
      <c r="WU25" s="248"/>
      <c r="WV25" s="248"/>
      <c r="WW25" s="248"/>
      <c r="WX25" s="248"/>
      <c r="WY25" s="248"/>
      <c r="WZ25" s="248"/>
      <c r="XA25" s="248"/>
      <c r="XB25" s="248"/>
      <c r="XC25" s="248"/>
      <c r="XD25" s="248"/>
      <c r="XE25" s="248"/>
      <c r="XF25" s="248"/>
      <c r="XG25" s="248"/>
      <c r="XH25" s="248"/>
      <c r="XI25" s="248"/>
      <c r="XJ25" s="248"/>
      <c r="XK25" s="248"/>
      <c r="XL25" s="248"/>
      <c r="XM25" s="248"/>
      <c r="XN25" s="248"/>
      <c r="XO25" s="248"/>
      <c r="XP25" s="248"/>
      <c r="XQ25" s="248"/>
      <c r="XR25" s="248"/>
      <c r="XS25" s="248"/>
      <c r="XT25" s="248"/>
      <c r="XU25" s="248"/>
      <c r="XV25" s="248"/>
      <c r="XW25" s="248"/>
      <c r="XX25" s="248"/>
      <c r="XY25" s="248"/>
      <c r="XZ25" s="248"/>
      <c r="YA25" s="248"/>
      <c r="YB25" s="248"/>
      <c r="YC25" s="248"/>
      <c r="YD25" s="248"/>
      <c r="YE25" s="248"/>
      <c r="YF25" s="248"/>
      <c r="YG25" s="248"/>
      <c r="YH25" s="248"/>
      <c r="YI25" s="248"/>
      <c r="YJ25" s="248"/>
      <c r="YK25" s="248"/>
      <c r="YL25" s="248"/>
      <c r="YM25" s="248"/>
      <c r="YN25" s="248"/>
      <c r="YO25" s="248"/>
      <c r="YP25" s="248"/>
      <c r="YQ25" s="248"/>
      <c r="YR25" s="248"/>
      <c r="YS25" s="248"/>
      <c r="YT25" s="248"/>
      <c r="YU25" s="248"/>
      <c r="YV25" s="248"/>
      <c r="YW25" s="248"/>
      <c r="YX25" s="248"/>
      <c r="YY25" s="248"/>
      <c r="YZ25" s="248"/>
      <c r="ZA25" s="248"/>
      <c r="ZB25" s="248"/>
      <c r="ZC25" s="248"/>
      <c r="ZD25" s="248"/>
      <c r="ZE25" s="248"/>
      <c r="ZF25" s="248"/>
      <c r="ZG25" s="248"/>
      <c r="ZH25" s="248"/>
      <c r="ZI25" s="248"/>
      <c r="ZJ25" s="248"/>
      <c r="ZK25" s="248"/>
      <c r="ZL25" s="248"/>
      <c r="ZM25" s="248"/>
      <c r="ZN25" s="248"/>
      <c r="ZO25" s="248"/>
      <c r="ZP25" s="248"/>
      <c r="ZQ25" s="248"/>
      <c r="ZR25" s="248"/>
      <c r="ZS25" s="248"/>
      <c r="ZT25" s="248"/>
      <c r="ZU25" s="248"/>
      <c r="ZV25" s="248"/>
      <c r="ZW25" s="248"/>
      <c r="ZX25" s="248"/>
      <c r="ZY25" s="248"/>
      <c r="ZZ25" s="248"/>
      <c r="AAA25" s="248"/>
      <c r="AAB25" s="248"/>
      <c r="AAC25" s="248"/>
      <c r="AAD25" s="248"/>
      <c r="AAE25" s="248"/>
      <c r="AAF25" s="248"/>
      <c r="AAG25" s="248"/>
      <c r="AAH25" s="248"/>
      <c r="AAI25" s="248"/>
      <c r="AAJ25" s="248"/>
      <c r="AAK25" s="248"/>
      <c r="AAL25" s="248"/>
      <c r="AAM25" s="248"/>
      <c r="AAN25" s="248"/>
      <c r="AAO25" s="248"/>
      <c r="AAP25" s="248"/>
      <c r="AAQ25" s="248"/>
      <c r="AAR25" s="248"/>
      <c r="AAS25" s="248"/>
      <c r="AAT25" s="248"/>
      <c r="AAU25" s="248"/>
      <c r="AAV25" s="248"/>
      <c r="AAW25" s="248"/>
      <c r="AAX25" s="248"/>
      <c r="AAY25" s="248"/>
      <c r="AAZ25" s="248"/>
      <c r="ABA25" s="248"/>
      <c r="ABB25" s="248"/>
      <c r="ABC25" s="248"/>
      <c r="ABD25" s="248"/>
      <c r="ABE25" s="248"/>
      <c r="ABF25" s="248"/>
      <c r="ABG25" s="248"/>
      <c r="ABH25" s="248"/>
      <c r="ABI25" s="248"/>
      <c r="ABJ25" s="248"/>
      <c r="ABK25" s="248"/>
      <c r="ABL25" s="248"/>
      <c r="ABM25" s="248"/>
      <c r="ABN25" s="248"/>
      <c r="ABO25" s="248"/>
      <c r="ABP25" s="248"/>
      <c r="ABQ25" s="248"/>
      <c r="ABR25" s="248"/>
      <c r="ABS25" s="248"/>
      <c r="ABT25" s="248"/>
      <c r="ABU25" s="248"/>
      <c r="ABV25" s="248"/>
      <c r="ABW25" s="248"/>
      <c r="ABX25" s="248"/>
      <c r="ABY25" s="248"/>
      <c r="ABZ25" s="248"/>
      <c r="ACA25" s="248"/>
      <c r="ACB25" s="248"/>
      <c r="ACC25" s="248"/>
      <c r="ACD25" s="248"/>
      <c r="ACE25" s="248"/>
      <c r="ACF25" s="248"/>
      <c r="ACG25" s="248"/>
      <c r="ACH25" s="248"/>
      <c r="ACI25" s="248"/>
      <c r="ACJ25" s="248"/>
      <c r="ACK25" s="248"/>
      <c r="ACL25" s="248"/>
      <c r="ACM25" s="248"/>
      <c r="ACN25" s="248"/>
      <c r="ACO25" s="248"/>
      <c r="ACP25" s="248"/>
      <c r="ACQ25" s="248"/>
      <c r="ACR25" s="248"/>
      <c r="ACS25" s="248"/>
      <c r="ACT25" s="248"/>
      <c r="ACU25" s="248"/>
      <c r="ACV25" s="248"/>
      <c r="ACW25" s="248"/>
      <c r="ACX25" s="248"/>
      <c r="ACY25" s="248"/>
      <c r="ACZ25" s="248"/>
      <c r="ADA25" s="248"/>
      <c r="ADB25" s="248"/>
      <c r="ADC25" s="248"/>
      <c r="ADD25" s="248"/>
      <c r="ADE25" s="248"/>
      <c r="ADF25" s="248"/>
      <c r="ADG25" s="248"/>
      <c r="ADH25" s="248"/>
      <c r="ADI25" s="248"/>
      <c r="ADJ25" s="248"/>
      <c r="ADK25" s="248"/>
      <c r="ADL25" s="248"/>
      <c r="ADM25" s="248"/>
      <c r="ADN25" s="248"/>
      <c r="ADO25" s="248"/>
      <c r="ADP25" s="248"/>
      <c r="ADQ25" s="248"/>
      <c r="ADR25" s="248"/>
      <c r="ADS25" s="248"/>
      <c r="ADT25" s="248"/>
      <c r="ADU25" s="248"/>
      <c r="ADV25" s="248"/>
      <c r="ADW25" s="248"/>
      <c r="ADX25" s="248"/>
      <c r="ADY25" s="248"/>
      <c r="ADZ25" s="248"/>
      <c r="AEA25" s="248"/>
      <c r="AEB25" s="248"/>
      <c r="AEC25" s="248"/>
      <c r="AED25" s="248"/>
      <c r="AEE25" s="248"/>
      <c r="AEF25" s="248"/>
      <c r="AEG25" s="248"/>
      <c r="AEH25" s="248"/>
      <c r="AEI25" s="248"/>
      <c r="AEJ25" s="248"/>
      <c r="AEK25" s="248"/>
      <c r="AEL25" s="248"/>
      <c r="AEM25" s="248"/>
      <c r="AEN25" s="248"/>
      <c r="AEO25" s="248"/>
      <c r="AEP25" s="248"/>
      <c r="AEQ25" s="248"/>
      <c r="AER25" s="248"/>
      <c r="AES25" s="248"/>
      <c r="AET25" s="248"/>
      <c r="AEU25" s="248"/>
      <c r="AEV25" s="248"/>
      <c r="AEW25" s="248"/>
      <c r="AEX25" s="248"/>
      <c r="AEY25" s="248"/>
      <c r="AEZ25" s="248"/>
      <c r="AFA25" s="248"/>
      <c r="AFB25" s="248"/>
      <c r="AFC25" s="248"/>
      <c r="AFD25" s="248"/>
      <c r="AFE25" s="248"/>
      <c r="AFF25" s="248"/>
      <c r="AFG25" s="248"/>
      <c r="AFH25" s="248"/>
      <c r="AFI25" s="248"/>
      <c r="AFJ25" s="248"/>
      <c r="AFK25" s="248"/>
      <c r="AFL25" s="248"/>
      <c r="AFM25" s="248"/>
      <c r="AFN25" s="248"/>
      <c r="AFO25" s="248"/>
      <c r="AFP25" s="248"/>
      <c r="AFQ25" s="248"/>
      <c r="AFR25" s="248"/>
      <c r="AFS25" s="248"/>
      <c r="AFT25" s="248"/>
      <c r="AFU25" s="248"/>
      <c r="AFV25" s="248"/>
      <c r="AFW25" s="248"/>
      <c r="AFX25" s="248"/>
      <c r="AFY25" s="248"/>
      <c r="AFZ25" s="248"/>
      <c r="AGA25" s="248"/>
      <c r="AGB25" s="248"/>
    </row>
    <row r="26" spans="1:861" s="375" customFormat="1" ht="14.25" customHeight="1" x14ac:dyDescent="0.25">
      <c r="A26" s="367">
        <v>9721</v>
      </c>
      <c r="B26" s="167" t="s">
        <v>470</v>
      </c>
      <c r="C26" s="296">
        <v>45813</v>
      </c>
      <c r="D26" s="312" t="s">
        <v>443</v>
      </c>
      <c r="E26" s="306" t="s">
        <v>51</v>
      </c>
      <c r="F26" s="344"/>
      <c r="G26" s="316">
        <v>45824</v>
      </c>
      <c r="H26" s="296"/>
      <c r="I26" s="211"/>
      <c r="J26" s="152" t="s">
        <v>489</v>
      </c>
      <c r="K26" s="144" t="s">
        <v>490</v>
      </c>
      <c r="L26" s="144" t="s">
        <v>485</v>
      </c>
      <c r="M26" s="207">
        <f t="shared" si="6"/>
        <v>45747</v>
      </c>
      <c r="N26" s="208" t="s">
        <v>491</v>
      </c>
      <c r="O26" s="144"/>
      <c r="P26" s="21" t="s">
        <v>492</v>
      </c>
      <c r="Q26" s="144" t="s">
        <v>71</v>
      </c>
      <c r="R26" s="152" t="s">
        <v>58</v>
      </c>
      <c r="S26" s="193" t="s">
        <v>275</v>
      </c>
      <c r="T26" s="369" t="s">
        <v>556</v>
      </c>
      <c r="U26" s="152" t="s">
        <v>333</v>
      </c>
      <c r="V26" s="152" t="s">
        <v>61</v>
      </c>
      <c r="W26" s="152" t="s">
        <v>269</v>
      </c>
      <c r="X26" s="152"/>
      <c r="Y26" s="209">
        <v>50</v>
      </c>
      <c r="Z26" s="218" t="s">
        <v>377</v>
      </c>
      <c r="AA26" s="210"/>
      <c r="AB26" s="168">
        <f t="shared" si="7"/>
        <v>0</v>
      </c>
      <c r="AC26" s="144"/>
      <c r="AD26" s="284"/>
      <c r="AE26" s="304"/>
      <c r="AF26" s="304"/>
      <c r="AG26" s="304"/>
      <c r="AH26" s="304"/>
      <c r="AI26" s="355"/>
      <c r="AJ26" s="206"/>
      <c r="AK26" s="144" t="s">
        <v>483</v>
      </c>
      <c r="AL26" s="246"/>
      <c r="AM26" s="290"/>
      <c r="AN26" s="290"/>
      <c r="AO26" s="321"/>
      <c r="AP26" s="321">
        <f t="shared" si="5"/>
        <v>23</v>
      </c>
      <c r="AQ26" s="248"/>
      <c r="AR26" s="248"/>
      <c r="AS26" s="248"/>
      <c r="AT26" s="248"/>
      <c r="AU26" s="248"/>
      <c r="AV26" s="248"/>
      <c r="AW26" s="248"/>
      <c r="AX26" s="248"/>
      <c r="AY26" s="248"/>
      <c r="AZ26" s="248"/>
      <c r="BA26" s="248"/>
      <c r="BB26" s="248"/>
      <c r="BC26" s="248"/>
      <c r="BD26" s="248"/>
      <c r="BE26" s="248"/>
      <c r="BF26" s="248"/>
      <c r="BG26" s="248"/>
      <c r="BH26" s="248"/>
      <c r="BI26" s="248"/>
      <c r="BJ26" s="248"/>
      <c r="BK26" s="248"/>
      <c r="BL26" s="248"/>
      <c r="BM26" s="248"/>
      <c r="BN26" s="248"/>
      <c r="BO26" s="248"/>
      <c r="BP26" s="248"/>
      <c r="BQ26" s="248"/>
      <c r="BR26" s="248"/>
      <c r="BS26" s="248"/>
      <c r="BT26" s="248"/>
      <c r="BU26" s="248"/>
      <c r="BV26" s="248"/>
      <c r="BW26" s="248"/>
      <c r="BX26" s="248"/>
      <c r="BY26" s="248"/>
      <c r="BZ26" s="248"/>
      <c r="CA26" s="248"/>
      <c r="CB26" s="248"/>
      <c r="CC26" s="248"/>
      <c r="CD26" s="248"/>
      <c r="CE26" s="248"/>
      <c r="CF26" s="248"/>
      <c r="CG26" s="248"/>
      <c r="CH26" s="248"/>
      <c r="CI26" s="248"/>
      <c r="CJ26" s="248"/>
      <c r="CK26" s="248"/>
      <c r="CL26" s="248"/>
      <c r="CM26" s="248"/>
      <c r="CN26" s="248"/>
      <c r="CO26" s="248"/>
      <c r="CP26" s="248"/>
      <c r="CQ26" s="248"/>
      <c r="CR26" s="248"/>
      <c r="CS26" s="248"/>
      <c r="CT26" s="248"/>
      <c r="CU26" s="248"/>
      <c r="CV26" s="248"/>
      <c r="CW26" s="248"/>
      <c r="CX26" s="248"/>
      <c r="CY26" s="248"/>
      <c r="CZ26" s="248"/>
      <c r="DA26" s="248"/>
      <c r="DB26" s="248"/>
      <c r="DC26" s="248"/>
      <c r="DD26" s="248"/>
      <c r="DE26" s="248"/>
      <c r="DF26" s="248"/>
      <c r="DG26" s="248"/>
      <c r="DH26" s="248"/>
      <c r="DI26" s="248"/>
      <c r="DJ26" s="248"/>
      <c r="DK26" s="248"/>
      <c r="DL26" s="248"/>
      <c r="DM26" s="248"/>
      <c r="DN26" s="248"/>
      <c r="DO26" s="248"/>
      <c r="DP26" s="248"/>
      <c r="DQ26" s="248"/>
      <c r="DR26" s="248"/>
      <c r="DS26" s="248"/>
      <c r="DT26" s="248"/>
      <c r="DU26" s="248"/>
      <c r="DV26" s="248"/>
      <c r="DW26" s="248"/>
      <c r="DX26" s="248"/>
      <c r="DY26" s="248"/>
      <c r="DZ26" s="248"/>
      <c r="EA26" s="248"/>
      <c r="EB26" s="248"/>
      <c r="EC26" s="248"/>
      <c r="ED26" s="248"/>
      <c r="EE26" s="248"/>
      <c r="EF26" s="248"/>
      <c r="EG26" s="248"/>
      <c r="EH26" s="248"/>
      <c r="EI26" s="248"/>
      <c r="EJ26" s="248"/>
      <c r="EK26" s="248"/>
      <c r="EL26" s="248"/>
      <c r="EM26" s="248"/>
      <c r="EN26" s="248"/>
      <c r="EO26" s="248"/>
      <c r="EP26" s="248"/>
      <c r="EQ26" s="248"/>
      <c r="ER26" s="248"/>
      <c r="ES26" s="248"/>
      <c r="ET26" s="248"/>
      <c r="EU26" s="248"/>
      <c r="EV26" s="248"/>
      <c r="EW26" s="248"/>
      <c r="EX26" s="248"/>
      <c r="EY26" s="248"/>
      <c r="EZ26" s="248"/>
      <c r="FA26" s="248"/>
      <c r="FB26" s="248"/>
      <c r="FC26" s="248"/>
      <c r="FD26" s="248"/>
      <c r="FE26" s="248"/>
      <c r="FF26" s="248"/>
      <c r="FG26" s="248"/>
      <c r="FH26" s="248"/>
      <c r="FI26" s="248"/>
      <c r="FJ26" s="248"/>
      <c r="FK26" s="248"/>
      <c r="FL26" s="248"/>
      <c r="FM26" s="248"/>
      <c r="FN26" s="248"/>
      <c r="FO26" s="248"/>
      <c r="FP26" s="248"/>
      <c r="FQ26" s="248"/>
      <c r="FR26" s="248"/>
      <c r="FS26" s="248"/>
      <c r="FT26" s="248"/>
      <c r="FU26" s="248"/>
      <c r="FV26" s="248"/>
      <c r="FW26" s="248"/>
      <c r="FX26" s="248"/>
      <c r="FY26" s="248"/>
      <c r="FZ26" s="248"/>
      <c r="GA26" s="248"/>
      <c r="GB26" s="248"/>
      <c r="GC26" s="248"/>
      <c r="GD26" s="248"/>
      <c r="GE26" s="248"/>
      <c r="GF26" s="248"/>
      <c r="GG26" s="248"/>
      <c r="GH26" s="248"/>
      <c r="GI26" s="248"/>
      <c r="GJ26" s="248"/>
      <c r="GK26" s="248"/>
      <c r="GL26" s="248"/>
      <c r="GM26" s="248"/>
      <c r="GN26" s="248"/>
      <c r="GO26" s="248"/>
      <c r="GP26" s="248"/>
      <c r="GQ26" s="248"/>
      <c r="GR26" s="248"/>
      <c r="GS26" s="248"/>
      <c r="GT26" s="248"/>
      <c r="GU26" s="248"/>
      <c r="GV26" s="248"/>
      <c r="GW26" s="248"/>
      <c r="GX26" s="248"/>
      <c r="GY26" s="248"/>
      <c r="GZ26" s="248"/>
      <c r="HA26" s="248"/>
      <c r="HB26" s="248"/>
      <c r="HC26" s="248"/>
      <c r="HD26" s="248"/>
      <c r="HE26" s="248"/>
      <c r="HF26" s="248"/>
      <c r="HG26" s="248"/>
      <c r="HH26" s="248"/>
      <c r="HI26" s="248"/>
      <c r="HJ26" s="248"/>
      <c r="HK26" s="248"/>
      <c r="HL26" s="248"/>
      <c r="HM26" s="248"/>
      <c r="HN26" s="248"/>
      <c r="HO26" s="248"/>
      <c r="HP26" s="248"/>
      <c r="HQ26" s="248"/>
      <c r="HR26" s="248"/>
      <c r="HS26" s="248"/>
      <c r="HT26" s="248"/>
      <c r="HU26" s="248"/>
      <c r="HV26" s="248"/>
      <c r="HW26" s="248"/>
      <c r="HX26" s="248"/>
      <c r="HY26" s="248"/>
      <c r="HZ26" s="248"/>
      <c r="IA26" s="248"/>
      <c r="IB26" s="248"/>
      <c r="IC26" s="248"/>
      <c r="ID26" s="248"/>
      <c r="IE26" s="248"/>
      <c r="IF26" s="248"/>
      <c r="IG26" s="248"/>
      <c r="IH26" s="248"/>
      <c r="II26" s="248"/>
      <c r="IJ26" s="248"/>
      <c r="IK26" s="248"/>
      <c r="IL26" s="248"/>
      <c r="IM26" s="248"/>
      <c r="IN26" s="248"/>
      <c r="IO26" s="248"/>
      <c r="IP26" s="248"/>
      <c r="IQ26" s="248"/>
      <c r="IR26" s="248"/>
      <c r="IS26" s="248"/>
      <c r="IT26" s="248"/>
      <c r="IU26" s="248"/>
      <c r="IV26" s="248"/>
      <c r="IW26" s="248"/>
      <c r="IX26" s="248"/>
      <c r="IY26" s="248"/>
      <c r="IZ26" s="248"/>
      <c r="JA26" s="248"/>
      <c r="JB26" s="248"/>
      <c r="JC26" s="248"/>
      <c r="JD26" s="248"/>
      <c r="JE26" s="248"/>
      <c r="JF26" s="248"/>
      <c r="JG26" s="248"/>
      <c r="JH26" s="248"/>
      <c r="JI26" s="248"/>
      <c r="JJ26" s="248"/>
      <c r="JK26" s="248"/>
      <c r="JL26" s="248"/>
      <c r="JM26" s="248"/>
      <c r="JN26" s="248"/>
      <c r="JO26" s="248"/>
      <c r="JP26" s="248"/>
      <c r="JQ26" s="248"/>
      <c r="JR26" s="248"/>
      <c r="JS26" s="248"/>
      <c r="JT26" s="248"/>
      <c r="JU26" s="248"/>
      <c r="JV26" s="248"/>
      <c r="JW26" s="248"/>
      <c r="JX26" s="248"/>
      <c r="JY26" s="248"/>
      <c r="JZ26" s="248"/>
      <c r="KA26" s="248"/>
      <c r="KB26" s="248"/>
      <c r="KC26" s="248"/>
      <c r="KD26" s="248"/>
      <c r="KE26" s="248"/>
      <c r="KF26" s="248"/>
      <c r="KG26" s="248"/>
      <c r="KH26" s="248"/>
      <c r="KI26" s="248"/>
      <c r="KJ26" s="248"/>
      <c r="KK26" s="248"/>
      <c r="KL26" s="248"/>
      <c r="KM26" s="248"/>
      <c r="KN26" s="248"/>
      <c r="KO26" s="248"/>
      <c r="KP26" s="248"/>
      <c r="KQ26" s="248"/>
      <c r="KR26" s="248"/>
      <c r="KS26" s="248"/>
      <c r="KT26" s="248"/>
      <c r="KU26" s="248"/>
      <c r="KV26" s="248"/>
      <c r="KW26" s="248"/>
      <c r="KX26" s="248"/>
      <c r="KY26" s="248"/>
      <c r="KZ26" s="248"/>
      <c r="LA26" s="248"/>
      <c r="LB26" s="248"/>
      <c r="LC26" s="248"/>
      <c r="LD26" s="248"/>
      <c r="LE26" s="248"/>
      <c r="LF26" s="248"/>
      <c r="LG26" s="248"/>
      <c r="LH26" s="248"/>
      <c r="LI26" s="248"/>
      <c r="LJ26" s="248"/>
      <c r="LK26" s="248"/>
      <c r="LL26" s="248"/>
      <c r="LM26" s="248"/>
      <c r="LN26" s="248"/>
      <c r="LO26" s="248"/>
      <c r="LP26" s="248"/>
      <c r="LQ26" s="248"/>
      <c r="LR26" s="248"/>
      <c r="LS26" s="248"/>
      <c r="LT26" s="248"/>
      <c r="LU26" s="248"/>
      <c r="LV26" s="248"/>
      <c r="LW26" s="248"/>
      <c r="LX26" s="248"/>
      <c r="LY26" s="248"/>
      <c r="LZ26" s="248"/>
      <c r="MA26" s="248"/>
      <c r="MB26" s="248"/>
      <c r="MC26" s="248"/>
      <c r="MD26" s="248"/>
      <c r="ME26" s="248"/>
      <c r="MF26" s="248"/>
      <c r="MG26" s="248"/>
      <c r="MH26" s="248"/>
      <c r="MI26" s="248"/>
      <c r="MJ26" s="248"/>
      <c r="MK26" s="248"/>
      <c r="ML26" s="248"/>
      <c r="MM26" s="248"/>
      <c r="MN26" s="248"/>
      <c r="MO26" s="248"/>
      <c r="MP26" s="248"/>
      <c r="MQ26" s="248"/>
      <c r="MR26" s="248"/>
      <c r="MS26" s="248"/>
      <c r="MT26" s="248"/>
      <c r="MU26" s="248"/>
      <c r="MV26" s="248"/>
      <c r="MW26" s="248"/>
      <c r="MX26" s="248"/>
      <c r="MY26" s="248"/>
      <c r="MZ26" s="248"/>
      <c r="NA26" s="248"/>
      <c r="NB26" s="248"/>
      <c r="NC26" s="248"/>
      <c r="ND26" s="248"/>
      <c r="NE26" s="248"/>
      <c r="NF26" s="248"/>
      <c r="NG26" s="248"/>
      <c r="NH26" s="248"/>
      <c r="NI26" s="248"/>
      <c r="NJ26" s="248"/>
      <c r="NK26" s="248"/>
      <c r="NL26" s="248"/>
      <c r="NM26" s="248"/>
      <c r="NN26" s="248"/>
      <c r="NO26" s="248"/>
      <c r="NP26" s="248"/>
      <c r="NQ26" s="248"/>
      <c r="NR26" s="248"/>
      <c r="NS26" s="248"/>
      <c r="NT26" s="248"/>
      <c r="NU26" s="248"/>
      <c r="NV26" s="248"/>
      <c r="NW26" s="248"/>
      <c r="NX26" s="248"/>
      <c r="NY26" s="248"/>
      <c r="NZ26" s="248"/>
      <c r="OA26" s="248"/>
      <c r="OB26" s="248"/>
      <c r="OC26" s="248"/>
      <c r="OD26" s="248"/>
      <c r="OE26" s="248"/>
      <c r="OF26" s="248"/>
      <c r="OG26" s="248"/>
      <c r="OH26" s="248"/>
      <c r="OI26" s="248"/>
      <c r="OJ26" s="248"/>
      <c r="OK26" s="248"/>
      <c r="OL26" s="248"/>
      <c r="OM26" s="248"/>
      <c r="ON26" s="248"/>
      <c r="OO26" s="248"/>
      <c r="OP26" s="248"/>
      <c r="OQ26" s="248"/>
      <c r="OR26" s="248"/>
      <c r="OS26" s="248"/>
      <c r="OT26" s="248"/>
      <c r="OU26" s="248"/>
      <c r="OV26" s="248"/>
      <c r="OW26" s="248"/>
      <c r="OX26" s="248"/>
      <c r="OY26" s="248"/>
      <c r="OZ26" s="248"/>
      <c r="PA26" s="248"/>
      <c r="PB26" s="248"/>
      <c r="PC26" s="248"/>
      <c r="PD26" s="248"/>
      <c r="PE26" s="248"/>
      <c r="PF26" s="248"/>
      <c r="PG26" s="248"/>
      <c r="PH26" s="248"/>
      <c r="PI26" s="248"/>
      <c r="PJ26" s="248"/>
      <c r="PK26" s="248"/>
      <c r="PL26" s="248"/>
      <c r="PM26" s="248"/>
      <c r="PN26" s="248"/>
      <c r="PO26" s="248"/>
      <c r="PP26" s="248"/>
      <c r="PQ26" s="248"/>
      <c r="PR26" s="248"/>
      <c r="PS26" s="248"/>
      <c r="PT26" s="248"/>
      <c r="PU26" s="248"/>
      <c r="PV26" s="248"/>
      <c r="PW26" s="248"/>
      <c r="PX26" s="248"/>
      <c r="PY26" s="248"/>
      <c r="PZ26" s="248"/>
      <c r="QA26" s="248"/>
      <c r="QB26" s="248"/>
      <c r="QC26" s="248"/>
      <c r="QD26" s="248"/>
      <c r="QE26" s="248"/>
      <c r="QF26" s="248"/>
      <c r="QG26" s="248"/>
      <c r="QH26" s="248"/>
      <c r="QI26" s="248"/>
      <c r="QJ26" s="248"/>
      <c r="QK26" s="248"/>
      <c r="QL26" s="248"/>
      <c r="QM26" s="248"/>
      <c r="QN26" s="248"/>
      <c r="QO26" s="248"/>
      <c r="QP26" s="248"/>
      <c r="QQ26" s="248"/>
      <c r="QR26" s="248"/>
      <c r="QS26" s="248"/>
      <c r="QT26" s="248"/>
      <c r="QU26" s="248"/>
      <c r="QV26" s="248"/>
      <c r="QW26" s="248"/>
      <c r="QX26" s="248"/>
      <c r="QY26" s="248"/>
      <c r="QZ26" s="248"/>
      <c r="RA26" s="248"/>
      <c r="RB26" s="248"/>
      <c r="RC26" s="248"/>
      <c r="RD26" s="248"/>
      <c r="RE26" s="248"/>
      <c r="RF26" s="248"/>
      <c r="RG26" s="248"/>
      <c r="RH26" s="248"/>
      <c r="RI26" s="248"/>
      <c r="RJ26" s="248"/>
      <c r="RK26" s="248"/>
      <c r="RL26" s="248"/>
      <c r="RM26" s="248"/>
      <c r="RN26" s="248"/>
      <c r="RO26" s="248"/>
      <c r="RP26" s="248"/>
      <c r="RQ26" s="248"/>
      <c r="RR26" s="248"/>
      <c r="RS26" s="248"/>
      <c r="RT26" s="248"/>
      <c r="RU26" s="248"/>
      <c r="RV26" s="248"/>
      <c r="RW26" s="248"/>
      <c r="RX26" s="248"/>
      <c r="RY26" s="248"/>
      <c r="RZ26" s="248"/>
      <c r="SA26" s="248"/>
      <c r="SB26" s="248"/>
      <c r="SC26" s="248"/>
      <c r="SD26" s="248"/>
      <c r="SE26" s="248"/>
      <c r="SF26" s="248"/>
      <c r="SG26" s="248"/>
      <c r="SH26" s="248"/>
      <c r="SI26" s="248"/>
      <c r="SJ26" s="248"/>
      <c r="SK26" s="248"/>
      <c r="SL26" s="248"/>
      <c r="SM26" s="248"/>
      <c r="SN26" s="248"/>
      <c r="SO26" s="248"/>
      <c r="SP26" s="248"/>
      <c r="SQ26" s="248"/>
      <c r="SR26" s="248"/>
      <c r="SS26" s="248"/>
      <c r="ST26" s="248"/>
      <c r="SU26" s="248"/>
      <c r="SV26" s="248"/>
      <c r="SW26" s="248"/>
      <c r="SX26" s="248"/>
      <c r="SY26" s="248"/>
      <c r="SZ26" s="248"/>
      <c r="TA26" s="248"/>
      <c r="TB26" s="248"/>
      <c r="TC26" s="248"/>
      <c r="TD26" s="248"/>
      <c r="TE26" s="248"/>
      <c r="TF26" s="248"/>
      <c r="TG26" s="248"/>
      <c r="TH26" s="248"/>
      <c r="TI26" s="248"/>
      <c r="TJ26" s="248"/>
      <c r="TK26" s="248"/>
      <c r="TL26" s="248"/>
      <c r="TM26" s="248"/>
      <c r="TN26" s="248"/>
      <c r="TO26" s="248"/>
      <c r="TP26" s="248"/>
      <c r="TQ26" s="248"/>
      <c r="TR26" s="248"/>
      <c r="TS26" s="248"/>
      <c r="TT26" s="248"/>
      <c r="TU26" s="248"/>
      <c r="TV26" s="248"/>
      <c r="TW26" s="248"/>
      <c r="TX26" s="248"/>
      <c r="TY26" s="248"/>
      <c r="TZ26" s="248"/>
      <c r="UA26" s="248"/>
      <c r="UB26" s="248"/>
      <c r="UC26" s="248"/>
      <c r="UD26" s="248"/>
      <c r="UE26" s="248"/>
      <c r="UF26" s="248"/>
      <c r="UG26" s="248"/>
      <c r="UH26" s="248"/>
      <c r="UI26" s="248"/>
      <c r="UJ26" s="248"/>
      <c r="UK26" s="248"/>
      <c r="UL26" s="248"/>
      <c r="UM26" s="248"/>
      <c r="UN26" s="248"/>
      <c r="UO26" s="248"/>
      <c r="UP26" s="248"/>
      <c r="UQ26" s="248"/>
      <c r="UR26" s="248"/>
      <c r="US26" s="248"/>
      <c r="UT26" s="248"/>
      <c r="UU26" s="248"/>
      <c r="UV26" s="248"/>
      <c r="UW26" s="248"/>
      <c r="UX26" s="248"/>
      <c r="UY26" s="248"/>
      <c r="UZ26" s="248"/>
      <c r="VA26" s="248"/>
      <c r="VB26" s="248"/>
      <c r="VC26" s="248"/>
      <c r="VD26" s="248"/>
      <c r="VE26" s="248"/>
      <c r="VF26" s="248"/>
      <c r="VG26" s="248"/>
      <c r="VH26" s="248"/>
      <c r="VI26" s="248"/>
      <c r="VJ26" s="248"/>
      <c r="VK26" s="248"/>
      <c r="VL26" s="248"/>
      <c r="VM26" s="248"/>
      <c r="VN26" s="248"/>
      <c r="VO26" s="248"/>
      <c r="VP26" s="248"/>
      <c r="VQ26" s="248"/>
      <c r="VR26" s="248"/>
      <c r="VS26" s="248"/>
      <c r="VT26" s="248"/>
      <c r="VU26" s="248"/>
      <c r="VV26" s="248"/>
      <c r="VW26" s="248"/>
      <c r="VX26" s="248"/>
      <c r="VY26" s="248"/>
      <c r="VZ26" s="248"/>
      <c r="WA26" s="248"/>
      <c r="WB26" s="248"/>
      <c r="WC26" s="248"/>
      <c r="WD26" s="248"/>
      <c r="WE26" s="248"/>
      <c r="WF26" s="248"/>
      <c r="WG26" s="248"/>
      <c r="WH26" s="248"/>
      <c r="WI26" s="248"/>
      <c r="WJ26" s="248"/>
      <c r="WK26" s="248"/>
      <c r="WL26" s="248"/>
      <c r="WM26" s="248"/>
      <c r="WN26" s="248"/>
      <c r="WO26" s="248"/>
      <c r="WP26" s="248"/>
      <c r="WQ26" s="248"/>
      <c r="WR26" s="248"/>
      <c r="WS26" s="248"/>
      <c r="WT26" s="248"/>
      <c r="WU26" s="248"/>
      <c r="WV26" s="248"/>
      <c r="WW26" s="248"/>
      <c r="WX26" s="248"/>
      <c r="WY26" s="248"/>
      <c r="WZ26" s="248"/>
      <c r="XA26" s="248"/>
      <c r="XB26" s="248"/>
      <c r="XC26" s="248"/>
      <c r="XD26" s="248"/>
      <c r="XE26" s="248"/>
      <c r="XF26" s="248"/>
      <c r="XG26" s="248"/>
      <c r="XH26" s="248"/>
      <c r="XI26" s="248"/>
      <c r="XJ26" s="248"/>
      <c r="XK26" s="248"/>
      <c r="XL26" s="248"/>
      <c r="XM26" s="248"/>
      <c r="XN26" s="248"/>
      <c r="XO26" s="248"/>
      <c r="XP26" s="248"/>
      <c r="XQ26" s="248"/>
      <c r="XR26" s="248"/>
      <c r="XS26" s="248"/>
      <c r="XT26" s="248"/>
      <c r="XU26" s="248"/>
      <c r="XV26" s="248"/>
      <c r="XW26" s="248"/>
      <c r="XX26" s="248"/>
      <c r="XY26" s="248"/>
      <c r="XZ26" s="248"/>
      <c r="YA26" s="248"/>
      <c r="YB26" s="248"/>
      <c r="YC26" s="248"/>
      <c r="YD26" s="248"/>
      <c r="YE26" s="248"/>
      <c r="YF26" s="248"/>
      <c r="YG26" s="248"/>
      <c r="YH26" s="248"/>
      <c r="YI26" s="248"/>
      <c r="YJ26" s="248"/>
      <c r="YK26" s="248"/>
      <c r="YL26" s="248"/>
      <c r="YM26" s="248"/>
      <c r="YN26" s="248"/>
      <c r="YO26" s="248"/>
      <c r="YP26" s="248"/>
      <c r="YQ26" s="248"/>
      <c r="YR26" s="248"/>
      <c r="YS26" s="248"/>
      <c r="YT26" s="248"/>
      <c r="YU26" s="248"/>
      <c r="YV26" s="248"/>
      <c r="YW26" s="248"/>
      <c r="YX26" s="248"/>
      <c r="YY26" s="248"/>
      <c r="YZ26" s="248"/>
      <c r="ZA26" s="248"/>
      <c r="ZB26" s="248"/>
      <c r="ZC26" s="248"/>
      <c r="ZD26" s="248"/>
      <c r="ZE26" s="248"/>
      <c r="ZF26" s="248"/>
      <c r="ZG26" s="248"/>
      <c r="ZH26" s="248"/>
      <c r="ZI26" s="248"/>
      <c r="ZJ26" s="248"/>
      <c r="ZK26" s="248"/>
      <c r="ZL26" s="248"/>
      <c r="ZM26" s="248"/>
      <c r="ZN26" s="248"/>
      <c r="ZO26" s="248"/>
      <c r="ZP26" s="248"/>
      <c r="ZQ26" s="248"/>
      <c r="ZR26" s="248"/>
      <c r="ZS26" s="248"/>
      <c r="ZT26" s="248"/>
      <c r="ZU26" s="248"/>
      <c r="ZV26" s="248"/>
      <c r="ZW26" s="248"/>
      <c r="ZX26" s="248"/>
      <c r="ZY26" s="248"/>
      <c r="ZZ26" s="248"/>
      <c r="AAA26" s="248"/>
      <c r="AAB26" s="248"/>
      <c r="AAC26" s="248"/>
      <c r="AAD26" s="248"/>
      <c r="AAE26" s="248"/>
      <c r="AAF26" s="248"/>
      <c r="AAG26" s="248"/>
      <c r="AAH26" s="248"/>
      <c r="AAI26" s="248"/>
      <c r="AAJ26" s="248"/>
      <c r="AAK26" s="248"/>
      <c r="AAL26" s="248"/>
      <c r="AAM26" s="248"/>
      <c r="AAN26" s="248"/>
      <c r="AAO26" s="248"/>
      <c r="AAP26" s="248"/>
      <c r="AAQ26" s="248"/>
      <c r="AAR26" s="248"/>
      <c r="AAS26" s="248"/>
      <c r="AAT26" s="248"/>
      <c r="AAU26" s="248"/>
      <c r="AAV26" s="248"/>
      <c r="AAW26" s="248"/>
      <c r="AAX26" s="248"/>
      <c r="AAY26" s="248"/>
      <c r="AAZ26" s="248"/>
      <c r="ABA26" s="248"/>
      <c r="ABB26" s="248"/>
      <c r="ABC26" s="248"/>
      <c r="ABD26" s="248"/>
      <c r="ABE26" s="248"/>
      <c r="ABF26" s="248"/>
      <c r="ABG26" s="248"/>
      <c r="ABH26" s="248"/>
      <c r="ABI26" s="248"/>
      <c r="ABJ26" s="248"/>
      <c r="ABK26" s="248"/>
      <c r="ABL26" s="248"/>
      <c r="ABM26" s="248"/>
      <c r="ABN26" s="248"/>
      <c r="ABO26" s="248"/>
      <c r="ABP26" s="248"/>
      <c r="ABQ26" s="248"/>
      <c r="ABR26" s="248"/>
      <c r="ABS26" s="248"/>
      <c r="ABT26" s="248"/>
      <c r="ABU26" s="248"/>
      <c r="ABV26" s="248"/>
      <c r="ABW26" s="248"/>
      <c r="ABX26" s="248"/>
      <c r="ABY26" s="248"/>
      <c r="ABZ26" s="248"/>
      <c r="ACA26" s="248"/>
      <c r="ACB26" s="248"/>
      <c r="ACC26" s="248"/>
      <c r="ACD26" s="248"/>
      <c r="ACE26" s="248"/>
      <c r="ACF26" s="248"/>
      <c r="ACG26" s="248"/>
      <c r="ACH26" s="248"/>
      <c r="ACI26" s="248"/>
      <c r="ACJ26" s="248"/>
      <c r="ACK26" s="248"/>
      <c r="ACL26" s="248"/>
      <c r="ACM26" s="248"/>
      <c r="ACN26" s="248"/>
      <c r="ACO26" s="248"/>
      <c r="ACP26" s="248"/>
      <c r="ACQ26" s="248"/>
      <c r="ACR26" s="248"/>
      <c r="ACS26" s="248"/>
      <c r="ACT26" s="248"/>
      <c r="ACU26" s="248"/>
      <c r="ACV26" s="248"/>
      <c r="ACW26" s="248"/>
      <c r="ACX26" s="248"/>
      <c r="ACY26" s="248"/>
      <c r="ACZ26" s="248"/>
      <c r="ADA26" s="248"/>
      <c r="ADB26" s="248"/>
      <c r="ADC26" s="248"/>
      <c r="ADD26" s="248"/>
      <c r="ADE26" s="248"/>
      <c r="ADF26" s="248"/>
      <c r="ADG26" s="248"/>
      <c r="ADH26" s="248"/>
      <c r="ADI26" s="248"/>
      <c r="ADJ26" s="248"/>
      <c r="ADK26" s="248"/>
      <c r="ADL26" s="248"/>
      <c r="ADM26" s="248"/>
      <c r="ADN26" s="248"/>
      <c r="ADO26" s="248"/>
      <c r="ADP26" s="248"/>
      <c r="ADQ26" s="248"/>
      <c r="ADR26" s="248"/>
      <c r="ADS26" s="248"/>
      <c r="ADT26" s="248"/>
      <c r="ADU26" s="248"/>
      <c r="ADV26" s="248"/>
      <c r="ADW26" s="248"/>
      <c r="ADX26" s="248"/>
      <c r="ADY26" s="248"/>
      <c r="ADZ26" s="248"/>
      <c r="AEA26" s="248"/>
      <c r="AEB26" s="248"/>
      <c r="AEC26" s="248"/>
      <c r="AED26" s="248"/>
      <c r="AEE26" s="248"/>
      <c r="AEF26" s="248"/>
      <c r="AEG26" s="248"/>
      <c r="AEH26" s="248"/>
      <c r="AEI26" s="248"/>
      <c r="AEJ26" s="248"/>
      <c r="AEK26" s="248"/>
      <c r="AEL26" s="248"/>
      <c r="AEM26" s="248"/>
      <c r="AEN26" s="248"/>
      <c r="AEO26" s="248"/>
      <c r="AEP26" s="248"/>
      <c r="AEQ26" s="248"/>
      <c r="AER26" s="248"/>
      <c r="AES26" s="248"/>
      <c r="AET26" s="248"/>
      <c r="AEU26" s="248"/>
      <c r="AEV26" s="248"/>
      <c r="AEW26" s="248"/>
      <c r="AEX26" s="248"/>
      <c r="AEY26" s="248"/>
      <c r="AEZ26" s="248"/>
      <c r="AFA26" s="248"/>
      <c r="AFB26" s="248"/>
      <c r="AFC26" s="248"/>
      <c r="AFD26" s="248"/>
      <c r="AFE26" s="248"/>
      <c r="AFF26" s="248"/>
      <c r="AFG26" s="248"/>
      <c r="AFH26" s="248"/>
      <c r="AFI26" s="248"/>
      <c r="AFJ26" s="248"/>
      <c r="AFK26" s="248"/>
      <c r="AFL26" s="248"/>
      <c r="AFM26" s="248"/>
      <c r="AFN26" s="248"/>
      <c r="AFO26" s="248"/>
      <c r="AFP26" s="248"/>
      <c r="AFQ26" s="248"/>
      <c r="AFR26" s="248"/>
      <c r="AFS26" s="248"/>
      <c r="AFT26" s="248"/>
      <c r="AFU26" s="248"/>
      <c r="AFV26" s="248"/>
      <c r="AFW26" s="248"/>
      <c r="AFX26" s="248"/>
      <c r="AFY26" s="248"/>
      <c r="AFZ26" s="248"/>
      <c r="AGA26" s="248"/>
      <c r="AGB26" s="248"/>
    </row>
    <row r="27" spans="1:861" s="248" customFormat="1" ht="14.25" customHeight="1" x14ac:dyDescent="0.25">
      <c r="A27" s="367">
        <v>9722</v>
      </c>
      <c r="B27" s="183" t="s">
        <v>467</v>
      </c>
      <c r="C27" s="301">
        <v>45813</v>
      </c>
      <c r="D27" s="307" t="s">
        <v>51</v>
      </c>
      <c r="E27" s="313">
        <v>45817</v>
      </c>
      <c r="F27" s="316" t="s">
        <v>51</v>
      </c>
      <c r="G27" s="316" t="s">
        <v>51</v>
      </c>
      <c r="H27" s="301">
        <v>45817</v>
      </c>
      <c r="I27" s="189"/>
      <c r="J27" s="183" t="s">
        <v>137</v>
      </c>
      <c r="K27" s="175" t="s">
        <v>138</v>
      </c>
      <c r="L27" s="175" t="s">
        <v>139</v>
      </c>
      <c r="M27" s="177">
        <f t="shared" si="6"/>
        <v>45036</v>
      </c>
      <c r="N27" s="179">
        <v>9198330707</v>
      </c>
      <c r="O27" s="183"/>
      <c r="P27" s="19" t="s">
        <v>140</v>
      </c>
      <c r="Q27" s="175" t="s">
        <v>141</v>
      </c>
      <c r="R27" s="183" t="s">
        <v>58</v>
      </c>
      <c r="S27" s="193" t="s">
        <v>27</v>
      </c>
      <c r="T27" s="181" t="s">
        <v>142</v>
      </c>
      <c r="U27" s="20"/>
      <c r="V27" s="20" t="s">
        <v>67</v>
      </c>
      <c r="W27" s="20">
        <v>6187</v>
      </c>
      <c r="X27" s="20"/>
      <c r="Y27" s="190">
        <v>650</v>
      </c>
      <c r="Z27" s="190" t="s">
        <v>557</v>
      </c>
      <c r="AA27" s="185">
        <v>94.3</v>
      </c>
      <c r="AB27" s="182">
        <f t="shared" si="7"/>
        <v>61295</v>
      </c>
      <c r="AC27" s="20"/>
      <c r="AD27" s="283"/>
      <c r="AE27" s="300"/>
      <c r="AF27" s="296"/>
      <c r="AG27" s="296"/>
      <c r="AH27" s="296"/>
      <c r="AI27" s="353"/>
      <c r="AJ27" s="219"/>
      <c r="AK27" s="144" t="s">
        <v>62</v>
      </c>
      <c r="AL27" s="246"/>
      <c r="AM27" s="290"/>
      <c r="AN27" s="290"/>
      <c r="AO27" s="321"/>
      <c r="AP27" s="321">
        <f t="shared" si="5"/>
        <v>23</v>
      </c>
    </row>
    <row r="28" spans="1:861" ht="14.25" customHeight="1" x14ac:dyDescent="0.2">
      <c r="A28" s="367">
        <v>9723</v>
      </c>
      <c r="B28" s="183" t="s">
        <v>470</v>
      </c>
      <c r="C28" s="301">
        <v>45813</v>
      </c>
      <c r="D28" s="312" t="s">
        <v>1</v>
      </c>
      <c r="E28" s="306" t="s">
        <v>51</v>
      </c>
      <c r="F28" s="344"/>
      <c r="G28" s="372" t="s">
        <v>133</v>
      </c>
      <c r="H28" s="300"/>
      <c r="I28" s="191"/>
      <c r="J28" s="20" t="s">
        <v>456</v>
      </c>
      <c r="K28" s="193" t="s">
        <v>457</v>
      </c>
      <c r="L28" s="193" t="s">
        <v>214</v>
      </c>
      <c r="M28" s="194">
        <f t="shared" si="6"/>
        <v>45523</v>
      </c>
      <c r="N28" s="195">
        <v>7329386900</v>
      </c>
      <c r="O28" s="20">
        <v>6</v>
      </c>
      <c r="P28" s="196" t="s">
        <v>431</v>
      </c>
      <c r="Q28" s="193" t="s">
        <v>432</v>
      </c>
      <c r="R28" s="20" t="s">
        <v>96</v>
      </c>
      <c r="S28" s="193" t="s">
        <v>275</v>
      </c>
      <c r="T28" s="181" t="s">
        <v>558</v>
      </c>
      <c r="U28" s="20"/>
      <c r="V28" s="152" t="s">
        <v>61</v>
      </c>
      <c r="W28" s="152" t="s">
        <v>269</v>
      </c>
      <c r="X28" s="20" t="s">
        <v>32</v>
      </c>
      <c r="Y28" s="184">
        <v>110</v>
      </c>
      <c r="Z28" s="184">
        <v>110</v>
      </c>
      <c r="AA28" s="185"/>
      <c r="AB28" s="182">
        <f t="shared" si="7"/>
        <v>0</v>
      </c>
      <c r="AC28" s="20"/>
      <c r="AD28" s="348"/>
      <c r="AE28" s="300"/>
      <c r="AF28" s="300"/>
      <c r="AG28" s="300"/>
      <c r="AH28" s="300"/>
      <c r="AI28" s="220"/>
      <c r="AJ28" s="181"/>
      <c r="AK28" s="144" t="s">
        <v>62</v>
      </c>
      <c r="AP28" s="321">
        <f t="shared" si="5"/>
        <v>23</v>
      </c>
    </row>
    <row r="29" spans="1:861" ht="14.25" customHeight="1" x14ac:dyDescent="0.25">
      <c r="A29" s="367">
        <v>9817</v>
      </c>
      <c r="B29" s="167" t="s">
        <v>470</v>
      </c>
      <c r="C29" s="304">
        <v>45824</v>
      </c>
      <c r="D29" s="306" t="s">
        <v>51</v>
      </c>
      <c r="E29" s="313" t="s">
        <v>315</v>
      </c>
      <c r="F29" s="307" t="s">
        <v>51</v>
      </c>
      <c r="G29" s="307" t="s">
        <v>51</v>
      </c>
      <c r="J29" s="152" t="s">
        <v>307</v>
      </c>
      <c r="K29" s="144" t="s">
        <v>266</v>
      </c>
      <c r="L29" s="144" t="s">
        <v>83</v>
      </c>
      <c r="M29" s="207" t="str">
        <f t="shared" ref="M29:M35" si="8">_xlfn.IFNA(VLOOKUP(L29,TAX,2,FALSE), "NEED FORM")</f>
        <v>NEED FORM</v>
      </c>
      <c r="P29" s="21" t="s">
        <v>559</v>
      </c>
      <c r="S29" s="144" t="s">
        <v>59</v>
      </c>
      <c r="T29" s="144" t="s">
        <v>560</v>
      </c>
      <c r="V29" s="197" t="s">
        <v>61</v>
      </c>
      <c r="W29" s="20" t="s">
        <v>269</v>
      </c>
      <c r="X29" s="152" t="s">
        <v>32</v>
      </c>
      <c r="Y29" s="209">
        <v>10</v>
      </c>
      <c r="Z29" s="218" t="s">
        <v>561</v>
      </c>
      <c r="AB29" s="168">
        <f t="shared" ref="AB29:AB54" si="9">AA29*Y29+AC29</f>
        <v>0</v>
      </c>
      <c r="AD29" s="284"/>
      <c r="AK29" s="144" t="s">
        <v>422</v>
      </c>
      <c r="AP29" s="321">
        <f t="shared" ref="AP29:AP32" si="10">_xlfn.ISOWEEKNUM(C29)</f>
        <v>25</v>
      </c>
    </row>
    <row r="30" spans="1:861" ht="14.25" customHeight="1" x14ac:dyDescent="0.25">
      <c r="A30" s="198">
        <v>9818</v>
      </c>
      <c r="B30" s="183" t="s">
        <v>470</v>
      </c>
      <c r="C30" s="301">
        <v>45824</v>
      </c>
      <c r="D30" s="312" t="s">
        <v>447</v>
      </c>
      <c r="E30" s="313" t="s">
        <v>447</v>
      </c>
      <c r="F30" s="344"/>
      <c r="G30" s="372" t="s">
        <v>315</v>
      </c>
      <c r="H30" s="301"/>
      <c r="I30" s="189"/>
      <c r="J30" s="183" t="s">
        <v>448</v>
      </c>
      <c r="K30" s="175" t="s">
        <v>562</v>
      </c>
      <c r="L30" s="175" t="s">
        <v>122</v>
      </c>
      <c r="M30" s="177">
        <f t="shared" si="8"/>
        <v>45033</v>
      </c>
      <c r="N30" s="179" t="s">
        <v>563</v>
      </c>
      <c r="O30" s="183">
        <v>1156</v>
      </c>
      <c r="P30" s="19" t="s">
        <v>564</v>
      </c>
      <c r="Q30" s="175"/>
      <c r="R30" s="183"/>
      <c r="S30" s="175" t="s">
        <v>27</v>
      </c>
      <c r="T30" s="181" t="s">
        <v>338</v>
      </c>
      <c r="U30" s="20" t="s">
        <v>180</v>
      </c>
      <c r="V30" s="20" t="s">
        <v>67</v>
      </c>
      <c r="W30" s="20" t="s">
        <v>428</v>
      </c>
      <c r="X30" s="20"/>
      <c r="Y30" s="184">
        <v>25</v>
      </c>
      <c r="Z30" s="190" t="s">
        <v>516</v>
      </c>
      <c r="AA30" s="185"/>
      <c r="AB30" s="182">
        <f t="shared" si="9"/>
        <v>0</v>
      </c>
      <c r="AC30" s="20"/>
      <c r="AD30" s="282"/>
      <c r="AE30" s="300"/>
      <c r="AF30" s="301"/>
      <c r="AG30" s="301"/>
      <c r="AH30" s="300"/>
      <c r="AI30" s="220"/>
      <c r="AJ30" s="204"/>
      <c r="AK30" s="144" t="s">
        <v>62</v>
      </c>
      <c r="AL30" s="377"/>
      <c r="AM30" s="378"/>
      <c r="AN30" s="378"/>
      <c r="AO30" s="379"/>
      <c r="AP30" s="379">
        <f t="shared" si="10"/>
        <v>25</v>
      </c>
      <c r="AQ30" s="377"/>
      <c r="AR30" s="377"/>
      <c r="AS30" s="377"/>
      <c r="AT30" s="377"/>
      <c r="AU30" s="377"/>
      <c r="AV30" s="377"/>
      <c r="AW30" s="377"/>
      <c r="AX30" s="377"/>
      <c r="AY30" s="377"/>
      <c r="AZ30" s="377"/>
      <c r="BA30" s="377"/>
      <c r="BB30" s="377"/>
      <c r="BC30" s="377"/>
      <c r="BD30" s="377"/>
      <c r="BE30" s="377"/>
      <c r="BF30" s="377"/>
      <c r="BG30" s="377"/>
      <c r="BH30" s="377"/>
      <c r="BI30" s="377"/>
      <c r="BJ30" s="377"/>
      <c r="BK30" s="377"/>
      <c r="BL30" s="377"/>
      <c r="BM30" s="377"/>
      <c r="BN30" s="377"/>
      <c r="BO30" s="377"/>
      <c r="BP30" s="377"/>
      <c r="BQ30" s="377"/>
      <c r="BR30" s="377"/>
      <c r="BS30" s="377"/>
      <c r="BT30" s="377"/>
      <c r="BU30" s="377"/>
      <c r="BV30" s="377"/>
      <c r="BW30" s="377"/>
      <c r="BX30" s="377"/>
      <c r="BY30" s="377"/>
      <c r="BZ30" s="377"/>
      <c r="CA30" s="377"/>
      <c r="CB30" s="377"/>
      <c r="CC30" s="377"/>
      <c r="CD30" s="377"/>
      <c r="CE30" s="377"/>
      <c r="CF30" s="377"/>
      <c r="CG30" s="377"/>
      <c r="CH30" s="377"/>
      <c r="CI30" s="377"/>
      <c r="CJ30" s="377"/>
      <c r="CK30" s="377"/>
      <c r="CL30" s="377"/>
      <c r="CM30" s="377"/>
      <c r="CN30" s="377"/>
      <c r="CO30" s="377"/>
      <c r="CP30" s="377"/>
      <c r="CQ30" s="377"/>
      <c r="CR30" s="377"/>
      <c r="CS30" s="377"/>
      <c r="CT30" s="377"/>
      <c r="CU30" s="377"/>
      <c r="CV30" s="377"/>
      <c r="CW30" s="377"/>
      <c r="CX30" s="377"/>
      <c r="CY30" s="377"/>
      <c r="CZ30" s="377"/>
      <c r="DA30" s="377"/>
      <c r="DB30" s="377"/>
      <c r="DC30" s="377"/>
      <c r="DD30" s="377"/>
      <c r="DE30" s="377"/>
      <c r="DF30" s="377"/>
      <c r="DG30" s="377"/>
      <c r="DH30" s="377"/>
      <c r="DI30" s="377"/>
      <c r="DJ30" s="377"/>
      <c r="DK30" s="377"/>
      <c r="DL30" s="377"/>
      <c r="DM30" s="377"/>
      <c r="DN30" s="377"/>
      <c r="DO30" s="377"/>
      <c r="DP30" s="377"/>
      <c r="DQ30" s="377"/>
      <c r="DR30" s="377"/>
      <c r="DS30" s="377"/>
      <c r="DT30" s="377"/>
      <c r="DU30" s="377"/>
      <c r="DV30" s="377"/>
      <c r="DW30" s="377"/>
      <c r="DX30" s="377"/>
      <c r="DY30" s="377"/>
      <c r="DZ30" s="377"/>
      <c r="EA30" s="377"/>
      <c r="EB30" s="377"/>
      <c r="EC30" s="377"/>
      <c r="ED30" s="377"/>
      <c r="EE30" s="377"/>
      <c r="EF30" s="377"/>
      <c r="EG30" s="377"/>
      <c r="EH30" s="377"/>
      <c r="EI30" s="377"/>
      <c r="EJ30" s="377"/>
      <c r="EK30" s="377"/>
      <c r="EL30" s="377"/>
      <c r="EM30" s="377"/>
      <c r="EN30" s="377"/>
      <c r="EO30" s="377"/>
      <c r="EP30" s="377"/>
      <c r="EQ30" s="377"/>
      <c r="ER30" s="377"/>
      <c r="ES30" s="377"/>
      <c r="ET30" s="377"/>
      <c r="EU30" s="377"/>
      <c r="EV30" s="377"/>
      <c r="EW30" s="377"/>
      <c r="EX30" s="377"/>
      <c r="EY30" s="377"/>
      <c r="EZ30" s="377"/>
      <c r="FA30" s="377"/>
      <c r="FB30" s="377"/>
      <c r="FC30" s="377"/>
      <c r="FD30" s="377"/>
      <c r="FE30" s="377"/>
      <c r="FF30" s="377"/>
      <c r="FG30" s="377"/>
      <c r="FH30" s="377"/>
      <c r="FI30" s="377"/>
      <c r="FJ30" s="377"/>
      <c r="FK30" s="377"/>
      <c r="FL30" s="377"/>
      <c r="FM30" s="377"/>
      <c r="FN30" s="377"/>
      <c r="FO30" s="377"/>
      <c r="FP30" s="377"/>
      <c r="FQ30" s="377"/>
      <c r="FR30" s="377"/>
      <c r="FS30" s="377"/>
      <c r="FT30" s="377"/>
      <c r="FU30" s="377"/>
      <c r="FV30" s="377"/>
      <c r="FW30" s="377"/>
      <c r="FX30" s="377"/>
      <c r="FY30" s="377"/>
      <c r="FZ30" s="377"/>
      <c r="GA30" s="377"/>
      <c r="GB30" s="377"/>
      <c r="GC30" s="377"/>
      <c r="GD30" s="377"/>
      <c r="GE30" s="377"/>
      <c r="GF30" s="377"/>
      <c r="GG30" s="377"/>
      <c r="GH30" s="377"/>
      <c r="GI30" s="377"/>
      <c r="GJ30" s="377"/>
      <c r="GK30" s="377"/>
      <c r="GL30" s="377"/>
      <c r="GM30" s="377"/>
      <c r="GN30" s="377"/>
      <c r="GO30" s="377"/>
      <c r="GP30" s="377"/>
      <c r="GQ30" s="377"/>
      <c r="GR30" s="377"/>
      <c r="GS30" s="377"/>
      <c r="GT30" s="377"/>
      <c r="GU30" s="377"/>
      <c r="GV30" s="377"/>
      <c r="GW30" s="377"/>
      <c r="GX30" s="377"/>
      <c r="GY30" s="377"/>
      <c r="GZ30" s="377"/>
      <c r="HA30" s="377"/>
      <c r="HB30" s="377"/>
      <c r="HC30" s="377"/>
      <c r="HD30" s="377"/>
      <c r="HE30" s="377"/>
      <c r="HF30" s="377"/>
      <c r="HG30" s="377"/>
      <c r="HH30" s="377"/>
      <c r="HI30" s="377"/>
      <c r="HJ30" s="377"/>
      <c r="HK30" s="377"/>
      <c r="HL30" s="377"/>
      <c r="HM30" s="377"/>
      <c r="HN30" s="377"/>
      <c r="HO30" s="377"/>
      <c r="HP30" s="377"/>
      <c r="HQ30" s="377"/>
      <c r="HR30" s="377"/>
      <c r="HS30" s="377"/>
      <c r="HT30" s="377"/>
      <c r="HU30" s="377"/>
      <c r="HV30" s="377"/>
      <c r="HW30" s="377"/>
      <c r="HX30" s="377"/>
      <c r="HY30" s="377"/>
      <c r="HZ30" s="377"/>
      <c r="IA30" s="377"/>
      <c r="IB30" s="377"/>
      <c r="IC30" s="377"/>
      <c r="ID30" s="377"/>
      <c r="IE30" s="377"/>
      <c r="IF30" s="377"/>
      <c r="IG30" s="377"/>
      <c r="IH30" s="377"/>
      <c r="II30" s="377"/>
      <c r="IJ30" s="377"/>
      <c r="IK30" s="377"/>
      <c r="IL30" s="377"/>
      <c r="IM30" s="377"/>
      <c r="IN30" s="377"/>
      <c r="IO30" s="377"/>
      <c r="IP30" s="377"/>
      <c r="IQ30" s="377"/>
      <c r="IR30" s="377"/>
      <c r="IS30" s="377"/>
      <c r="IT30" s="377"/>
      <c r="IU30" s="377"/>
      <c r="IV30" s="377"/>
      <c r="IW30" s="377"/>
      <c r="IX30" s="377"/>
      <c r="IY30" s="377"/>
      <c r="IZ30" s="377"/>
      <c r="JA30" s="377"/>
      <c r="JB30" s="377"/>
      <c r="JC30" s="377"/>
      <c r="JD30" s="377"/>
      <c r="JE30" s="377"/>
      <c r="JF30" s="377"/>
      <c r="JG30" s="377"/>
      <c r="JH30" s="377"/>
      <c r="JI30" s="377"/>
      <c r="JJ30" s="377"/>
      <c r="JK30" s="377"/>
      <c r="JL30" s="377"/>
      <c r="JM30" s="377"/>
      <c r="JN30" s="377"/>
      <c r="JO30" s="377"/>
      <c r="JP30" s="377"/>
      <c r="JQ30" s="377"/>
      <c r="JR30" s="377"/>
      <c r="JS30" s="377"/>
      <c r="JT30" s="377"/>
      <c r="JU30" s="377"/>
      <c r="JV30" s="377"/>
      <c r="JW30" s="377"/>
      <c r="JX30" s="377"/>
      <c r="JY30" s="377"/>
      <c r="JZ30" s="377"/>
      <c r="KA30" s="377"/>
      <c r="KB30" s="377"/>
      <c r="KC30" s="377"/>
      <c r="KD30" s="377"/>
      <c r="KE30" s="377"/>
      <c r="KF30" s="377"/>
      <c r="KG30" s="377"/>
      <c r="KH30" s="377"/>
      <c r="KI30" s="377"/>
      <c r="KJ30" s="377"/>
      <c r="KK30" s="377"/>
      <c r="KL30" s="377"/>
      <c r="KM30" s="377"/>
      <c r="KN30" s="377"/>
      <c r="KO30" s="377"/>
      <c r="KP30" s="377"/>
      <c r="KQ30" s="377"/>
      <c r="KR30" s="377"/>
      <c r="KS30" s="377"/>
      <c r="KT30" s="377"/>
      <c r="KU30" s="377"/>
      <c r="KV30" s="377"/>
      <c r="KW30" s="377"/>
      <c r="KX30" s="377"/>
      <c r="KY30" s="377"/>
      <c r="KZ30" s="377"/>
      <c r="LA30" s="377"/>
      <c r="LB30" s="377"/>
      <c r="LC30" s="377"/>
      <c r="LD30" s="377"/>
      <c r="LE30" s="377"/>
      <c r="LF30" s="377"/>
      <c r="LG30" s="377"/>
      <c r="LH30" s="377"/>
      <c r="LI30" s="377"/>
      <c r="LJ30" s="377"/>
      <c r="LK30" s="377"/>
      <c r="LL30" s="377"/>
      <c r="LM30" s="377"/>
      <c r="LN30" s="377"/>
      <c r="LO30" s="377"/>
      <c r="LP30" s="377"/>
      <c r="LQ30" s="377"/>
      <c r="LR30" s="377"/>
      <c r="LS30" s="377"/>
      <c r="LT30" s="377"/>
      <c r="LU30" s="377"/>
      <c r="LV30" s="377"/>
      <c r="LW30" s="377"/>
      <c r="LX30" s="377"/>
      <c r="LY30" s="377"/>
      <c r="LZ30" s="377"/>
      <c r="MA30" s="377"/>
      <c r="MB30" s="377"/>
      <c r="MC30" s="377"/>
      <c r="MD30" s="377"/>
      <c r="ME30" s="377"/>
      <c r="MF30" s="377"/>
      <c r="MG30" s="377"/>
      <c r="MH30" s="377"/>
      <c r="MI30" s="377"/>
      <c r="MJ30" s="377"/>
      <c r="MK30" s="377"/>
      <c r="ML30" s="377"/>
      <c r="MM30" s="377"/>
      <c r="MN30" s="377"/>
      <c r="MO30" s="377"/>
      <c r="MP30" s="377"/>
      <c r="MQ30" s="377"/>
      <c r="MR30" s="377"/>
      <c r="MS30" s="377"/>
      <c r="MT30" s="377"/>
      <c r="MU30" s="377"/>
      <c r="MV30" s="377"/>
      <c r="MW30" s="377"/>
      <c r="MX30" s="377"/>
      <c r="MY30" s="377"/>
      <c r="MZ30" s="377"/>
      <c r="NA30" s="377"/>
      <c r="NB30" s="377"/>
      <c r="NC30" s="377"/>
      <c r="ND30" s="377"/>
      <c r="NE30" s="377"/>
      <c r="NF30" s="377"/>
      <c r="NG30" s="377"/>
      <c r="NH30" s="377"/>
      <c r="NI30" s="377"/>
      <c r="NJ30" s="377"/>
      <c r="NK30" s="377"/>
      <c r="NL30" s="377"/>
      <c r="NM30" s="377"/>
      <c r="NN30" s="377"/>
      <c r="NO30" s="377"/>
      <c r="NP30" s="377"/>
      <c r="NQ30" s="377"/>
      <c r="NR30" s="377"/>
      <c r="NS30" s="377"/>
      <c r="NT30" s="377"/>
      <c r="NU30" s="377"/>
      <c r="NV30" s="377"/>
      <c r="NW30" s="377"/>
      <c r="NX30" s="377"/>
      <c r="NY30" s="377"/>
      <c r="NZ30" s="377"/>
      <c r="OA30" s="377"/>
      <c r="OB30" s="377"/>
      <c r="OC30" s="377"/>
      <c r="OD30" s="377"/>
      <c r="OE30" s="377"/>
      <c r="OF30" s="377"/>
      <c r="OG30" s="377"/>
      <c r="OH30" s="377"/>
      <c r="OI30" s="377"/>
      <c r="OJ30" s="377"/>
      <c r="OK30" s="377"/>
      <c r="OL30" s="377"/>
      <c r="OM30" s="377"/>
      <c r="ON30" s="377"/>
      <c r="OO30" s="377"/>
      <c r="OP30" s="377"/>
      <c r="OQ30" s="377"/>
      <c r="OR30" s="377"/>
      <c r="OS30" s="377"/>
      <c r="OT30" s="377"/>
      <c r="OU30" s="377"/>
      <c r="OV30" s="377"/>
      <c r="OW30" s="377"/>
      <c r="OX30" s="377"/>
      <c r="OY30" s="377"/>
      <c r="OZ30" s="377"/>
      <c r="PA30" s="377"/>
      <c r="PB30" s="377"/>
      <c r="PC30" s="377"/>
      <c r="PD30" s="377"/>
      <c r="PE30" s="377"/>
      <c r="PF30" s="377"/>
      <c r="PG30" s="377"/>
      <c r="PH30" s="377"/>
      <c r="PI30" s="377"/>
      <c r="PJ30" s="377"/>
      <c r="PK30" s="377"/>
      <c r="PL30" s="377"/>
      <c r="PM30" s="377"/>
      <c r="PN30" s="377"/>
      <c r="PO30" s="377"/>
      <c r="PP30" s="377"/>
      <c r="PQ30" s="377"/>
      <c r="PR30" s="377"/>
      <c r="PS30" s="377"/>
      <c r="PT30" s="377"/>
      <c r="PU30" s="377"/>
      <c r="PV30" s="377"/>
      <c r="PW30" s="377"/>
      <c r="PX30" s="377"/>
      <c r="PY30" s="377"/>
      <c r="PZ30" s="377"/>
      <c r="QA30" s="377"/>
      <c r="QB30" s="377"/>
      <c r="QC30" s="377"/>
      <c r="QD30" s="377"/>
      <c r="QE30" s="377"/>
      <c r="QF30" s="377"/>
      <c r="QG30" s="377"/>
      <c r="QH30" s="377"/>
      <c r="QI30" s="377"/>
      <c r="QJ30" s="377"/>
      <c r="QK30" s="377"/>
      <c r="QL30" s="377"/>
      <c r="QM30" s="377"/>
      <c r="QN30" s="377"/>
      <c r="QO30" s="377"/>
      <c r="QP30" s="377"/>
      <c r="QQ30" s="377"/>
      <c r="QR30" s="377"/>
      <c r="QS30" s="377"/>
      <c r="QT30" s="377"/>
      <c r="QU30" s="377"/>
      <c r="QV30" s="377"/>
      <c r="QW30" s="377"/>
      <c r="QX30" s="377"/>
      <c r="QY30" s="377"/>
      <c r="QZ30" s="377"/>
      <c r="RA30" s="377"/>
      <c r="RB30" s="377"/>
      <c r="RC30" s="377"/>
      <c r="RD30" s="377"/>
      <c r="RE30" s="377"/>
      <c r="RF30" s="377"/>
      <c r="RG30" s="377"/>
      <c r="RH30" s="377"/>
      <c r="RI30" s="377"/>
      <c r="RJ30" s="377"/>
      <c r="RK30" s="377"/>
      <c r="RL30" s="377"/>
      <c r="RM30" s="377"/>
      <c r="RN30" s="377"/>
      <c r="RO30" s="377"/>
      <c r="RP30" s="377"/>
      <c r="RQ30" s="377"/>
      <c r="RR30" s="377"/>
      <c r="RS30" s="377"/>
      <c r="RT30" s="377"/>
      <c r="RU30" s="377"/>
      <c r="RV30" s="377"/>
      <c r="RW30" s="377"/>
      <c r="RX30" s="377"/>
      <c r="RY30" s="377"/>
      <c r="RZ30" s="377"/>
      <c r="SA30" s="377"/>
      <c r="SB30" s="377"/>
      <c r="SC30" s="377"/>
      <c r="SD30" s="377"/>
      <c r="SE30" s="377"/>
      <c r="SF30" s="377"/>
      <c r="SG30" s="377"/>
      <c r="SH30" s="377"/>
      <c r="SI30" s="377"/>
      <c r="SJ30" s="377"/>
      <c r="SK30" s="377"/>
      <c r="SL30" s="377"/>
      <c r="SM30" s="377"/>
      <c r="SN30" s="377"/>
      <c r="SO30" s="377"/>
      <c r="SP30" s="377"/>
      <c r="SQ30" s="377"/>
      <c r="SR30" s="377"/>
      <c r="SS30" s="377"/>
      <c r="ST30" s="377"/>
      <c r="SU30" s="377"/>
      <c r="SV30" s="377"/>
      <c r="SW30" s="377"/>
      <c r="SX30" s="377"/>
      <c r="SY30" s="377"/>
      <c r="SZ30" s="377"/>
      <c r="TA30" s="377"/>
      <c r="TB30" s="377"/>
      <c r="TC30" s="377"/>
      <c r="TD30" s="377"/>
      <c r="TE30" s="377"/>
      <c r="TF30" s="377"/>
      <c r="TG30" s="377"/>
      <c r="TH30" s="377"/>
      <c r="TI30" s="377"/>
      <c r="TJ30" s="377"/>
      <c r="TK30" s="377"/>
      <c r="TL30" s="377"/>
      <c r="TM30" s="377"/>
      <c r="TN30" s="377"/>
      <c r="TO30" s="377"/>
      <c r="TP30" s="377"/>
      <c r="TQ30" s="377"/>
      <c r="TR30" s="377"/>
      <c r="TS30" s="377"/>
      <c r="TT30" s="377"/>
      <c r="TU30" s="377"/>
      <c r="TV30" s="377"/>
      <c r="TW30" s="377"/>
      <c r="TX30" s="377"/>
      <c r="TY30" s="377"/>
      <c r="TZ30" s="377"/>
      <c r="UA30" s="377"/>
      <c r="UB30" s="377"/>
      <c r="UC30" s="377"/>
      <c r="UD30" s="377"/>
      <c r="UE30" s="377"/>
      <c r="UF30" s="377"/>
      <c r="UG30" s="377"/>
      <c r="UH30" s="377"/>
      <c r="UI30" s="377"/>
      <c r="UJ30" s="377"/>
      <c r="UK30" s="377"/>
      <c r="UL30" s="377"/>
      <c r="UM30" s="377"/>
      <c r="UN30" s="377"/>
      <c r="UO30" s="377"/>
      <c r="UP30" s="377"/>
      <c r="UQ30" s="377"/>
      <c r="UR30" s="377"/>
      <c r="US30" s="377"/>
      <c r="UT30" s="377"/>
      <c r="UU30" s="377"/>
      <c r="UV30" s="377"/>
      <c r="UW30" s="377"/>
      <c r="UX30" s="377"/>
      <c r="UY30" s="377"/>
      <c r="UZ30" s="377"/>
      <c r="VA30" s="377"/>
      <c r="VB30" s="377"/>
      <c r="VC30" s="377"/>
      <c r="VD30" s="377"/>
      <c r="VE30" s="377"/>
      <c r="VF30" s="377"/>
      <c r="VG30" s="377"/>
      <c r="VH30" s="377"/>
      <c r="VI30" s="377"/>
      <c r="VJ30" s="377"/>
      <c r="VK30" s="377"/>
      <c r="VL30" s="377"/>
      <c r="VM30" s="377"/>
      <c r="VN30" s="377"/>
      <c r="VO30" s="377"/>
      <c r="VP30" s="377"/>
      <c r="VQ30" s="377"/>
      <c r="VR30" s="377"/>
      <c r="VS30" s="377"/>
      <c r="VT30" s="377"/>
      <c r="VU30" s="377"/>
      <c r="VV30" s="377"/>
      <c r="VW30" s="377"/>
      <c r="VX30" s="377"/>
      <c r="VY30" s="377"/>
      <c r="VZ30" s="377"/>
      <c r="WA30" s="377"/>
      <c r="WB30" s="377"/>
      <c r="WC30" s="377"/>
      <c r="WD30" s="377"/>
      <c r="WE30" s="377"/>
      <c r="WF30" s="377"/>
      <c r="WG30" s="377"/>
      <c r="WH30" s="377"/>
      <c r="WI30" s="377"/>
      <c r="WJ30" s="377"/>
      <c r="WK30" s="377"/>
      <c r="WL30" s="377"/>
      <c r="WM30" s="377"/>
      <c r="WN30" s="377"/>
      <c r="WO30" s="377"/>
      <c r="WP30" s="377"/>
      <c r="WQ30" s="377"/>
      <c r="WR30" s="377"/>
      <c r="WS30" s="377"/>
      <c r="WT30" s="377"/>
      <c r="WU30" s="377"/>
      <c r="WV30" s="377"/>
      <c r="WW30" s="377"/>
      <c r="WX30" s="377"/>
      <c r="WY30" s="377"/>
      <c r="WZ30" s="377"/>
      <c r="XA30" s="377"/>
      <c r="XB30" s="377"/>
      <c r="XC30" s="377"/>
      <c r="XD30" s="377"/>
      <c r="XE30" s="377"/>
      <c r="XF30" s="377"/>
      <c r="XG30" s="377"/>
      <c r="XH30" s="377"/>
      <c r="XI30" s="377"/>
      <c r="XJ30" s="377"/>
      <c r="XK30" s="377"/>
      <c r="XL30" s="377"/>
      <c r="XM30" s="377"/>
      <c r="XN30" s="377"/>
      <c r="XO30" s="377"/>
      <c r="XP30" s="377"/>
      <c r="XQ30" s="377"/>
      <c r="XR30" s="377"/>
      <c r="XS30" s="377"/>
      <c r="XT30" s="377"/>
      <c r="XU30" s="377"/>
      <c r="XV30" s="377"/>
      <c r="XW30" s="377"/>
      <c r="XX30" s="377"/>
      <c r="XY30" s="377"/>
      <c r="XZ30" s="377"/>
      <c r="YA30" s="377"/>
      <c r="YB30" s="377"/>
      <c r="YC30" s="377"/>
      <c r="YD30" s="377"/>
      <c r="YE30" s="377"/>
      <c r="YF30" s="377"/>
      <c r="YG30" s="377"/>
      <c r="YH30" s="377"/>
      <c r="YI30" s="377"/>
      <c r="YJ30" s="377"/>
      <c r="YK30" s="377"/>
      <c r="YL30" s="377"/>
      <c r="YM30" s="377"/>
      <c r="YN30" s="377"/>
      <c r="YO30" s="377"/>
      <c r="YP30" s="377"/>
      <c r="YQ30" s="377"/>
      <c r="YR30" s="377"/>
      <c r="YS30" s="377"/>
      <c r="YT30" s="377"/>
      <c r="YU30" s="377"/>
      <c r="YV30" s="377"/>
      <c r="YW30" s="377"/>
      <c r="YX30" s="377"/>
      <c r="YY30" s="377"/>
      <c r="YZ30" s="377"/>
      <c r="ZA30" s="377"/>
      <c r="ZB30" s="377"/>
      <c r="ZC30" s="377"/>
      <c r="ZD30" s="377"/>
      <c r="ZE30" s="377"/>
      <c r="ZF30" s="377"/>
      <c r="ZG30" s="377"/>
      <c r="ZH30" s="377"/>
      <c r="ZI30" s="377"/>
      <c r="ZJ30" s="377"/>
      <c r="ZK30" s="377"/>
      <c r="ZL30" s="377"/>
      <c r="ZM30" s="377"/>
      <c r="ZN30" s="377"/>
      <c r="ZO30" s="377"/>
      <c r="ZP30" s="377"/>
      <c r="ZQ30" s="377"/>
      <c r="ZR30" s="377"/>
      <c r="ZS30" s="377"/>
      <c r="ZT30" s="377"/>
      <c r="ZU30" s="377"/>
      <c r="ZV30" s="377"/>
      <c r="ZW30" s="377"/>
      <c r="ZX30" s="377"/>
      <c r="ZY30" s="377"/>
      <c r="ZZ30" s="377"/>
      <c r="AAA30" s="377"/>
      <c r="AAB30" s="377"/>
      <c r="AAC30" s="377"/>
      <c r="AAD30" s="377"/>
      <c r="AAE30" s="377"/>
      <c r="AAF30" s="377"/>
      <c r="AAG30" s="377"/>
      <c r="AAH30" s="377"/>
      <c r="AAI30" s="377"/>
      <c r="AAJ30" s="377"/>
      <c r="AAK30" s="377"/>
      <c r="AAL30" s="377"/>
      <c r="AAM30" s="377"/>
      <c r="AAN30" s="377"/>
      <c r="AAO30" s="377"/>
      <c r="AAP30" s="377"/>
      <c r="AAQ30" s="377"/>
      <c r="AAR30" s="377"/>
      <c r="AAS30" s="377"/>
      <c r="AAT30" s="377"/>
      <c r="AAU30" s="377"/>
      <c r="AAV30" s="377"/>
      <c r="AAW30" s="377"/>
      <c r="AAX30" s="377"/>
      <c r="AAY30" s="377"/>
      <c r="AAZ30" s="377"/>
      <c r="ABA30" s="377"/>
      <c r="ABB30" s="377"/>
      <c r="ABC30" s="377"/>
      <c r="ABD30" s="377"/>
      <c r="ABE30" s="377"/>
      <c r="ABF30" s="377"/>
      <c r="ABG30" s="377"/>
      <c r="ABH30" s="377"/>
      <c r="ABI30" s="377"/>
      <c r="ABJ30" s="377"/>
      <c r="ABK30" s="377"/>
      <c r="ABL30" s="377"/>
      <c r="ABM30" s="377"/>
      <c r="ABN30" s="377"/>
      <c r="ABO30" s="377"/>
      <c r="ABP30" s="377"/>
      <c r="ABQ30" s="377"/>
      <c r="ABR30" s="377"/>
      <c r="ABS30" s="377"/>
      <c r="ABT30" s="377"/>
      <c r="ABU30" s="377"/>
      <c r="ABV30" s="377"/>
      <c r="ABW30" s="377"/>
      <c r="ABX30" s="377"/>
      <c r="ABY30" s="377"/>
      <c r="ABZ30" s="377"/>
      <c r="ACA30" s="377"/>
      <c r="ACB30" s="377"/>
      <c r="ACC30" s="377"/>
      <c r="ACD30" s="377"/>
      <c r="ACE30" s="377"/>
      <c r="ACF30" s="377"/>
      <c r="ACG30" s="377"/>
      <c r="ACH30" s="377"/>
      <c r="ACI30" s="377"/>
      <c r="ACJ30" s="377"/>
      <c r="ACK30" s="377"/>
      <c r="ACL30" s="377"/>
      <c r="ACM30" s="377"/>
      <c r="ACN30" s="377"/>
      <c r="ACO30" s="377"/>
      <c r="ACP30" s="377"/>
      <c r="ACQ30" s="377"/>
      <c r="ACR30" s="377"/>
      <c r="ACS30" s="377"/>
      <c r="ACT30" s="377"/>
      <c r="ACU30" s="377"/>
      <c r="ACV30" s="377"/>
      <c r="ACW30" s="377"/>
      <c r="ACX30" s="377"/>
      <c r="ACY30" s="377"/>
      <c r="ACZ30" s="377"/>
      <c r="ADA30" s="377"/>
      <c r="ADB30" s="377"/>
      <c r="ADC30" s="377"/>
      <c r="ADD30" s="377"/>
      <c r="ADE30" s="377"/>
      <c r="ADF30" s="377"/>
      <c r="ADG30" s="377"/>
      <c r="ADH30" s="377"/>
      <c r="ADI30" s="377"/>
      <c r="ADJ30" s="377"/>
      <c r="ADK30" s="377"/>
      <c r="ADL30" s="377"/>
      <c r="ADM30" s="377"/>
      <c r="ADN30" s="377"/>
      <c r="ADO30" s="377"/>
      <c r="ADP30" s="377"/>
      <c r="ADQ30" s="377"/>
      <c r="ADR30" s="377"/>
      <c r="ADS30" s="377"/>
      <c r="ADT30" s="377"/>
      <c r="ADU30" s="377"/>
      <c r="ADV30" s="377"/>
      <c r="ADW30" s="377"/>
      <c r="ADX30" s="377"/>
      <c r="ADY30" s="377"/>
      <c r="ADZ30" s="377"/>
      <c r="AEA30" s="377"/>
      <c r="AEB30" s="377"/>
      <c r="AEC30" s="377"/>
      <c r="AED30" s="377"/>
      <c r="AEE30" s="377"/>
      <c r="AEF30" s="377"/>
      <c r="AEG30" s="377"/>
      <c r="AEH30" s="377"/>
      <c r="AEI30" s="377"/>
      <c r="AEJ30" s="377"/>
      <c r="AEK30" s="377"/>
      <c r="AEL30" s="377"/>
      <c r="AEM30" s="377"/>
      <c r="AEN30" s="377"/>
      <c r="AEO30" s="377"/>
      <c r="AEP30" s="377"/>
      <c r="AEQ30" s="377"/>
      <c r="AER30" s="377"/>
      <c r="AES30" s="377"/>
      <c r="AET30" s="377"/>
      <c r="AEU30" s="377"/>
      <c r="AEV30" s="377"/>
      <c r="AEW30" s="377"/>
      <c r="AEX30" s="377"/>
      <c r="AEY30" s="377"/>
      <c r="AEZ30" s="377"/>
      <c r="AFA30" s="377"/>
      <c r="AFB30" s="377"/>
      <c r="AFC30" s="377"/>
      <c r="AFD30" s="377"/>
      <c r="AFE30" s="377"/>
      <c r="AFF30" s="377"/>
      <c r="AFG30" s="377"/>
      <c r="AFH30" s="377"/>
      <c r="AFI30" s="377"/>
      <c r="AFJ30" s="377"/>
      <c r="AFK30" s="377"/>
      <c r="AFL30" s="377"/>
      <c r="AFM30" s="377"/>
      <c r="AFN30" s="377"/>
      <c r="AFO30" s="377"/>
      <c r="AFP30" s="377"/>
      <c r="AFQ30" s="377"/>
      <c r="AFR30" s="377"/>
      <c r="AFS30" s="377"/>
      <c r="AFT30" s="377"/>
      <c r="AFU30" s="377"/>
      <c r="AFV30" s="377"/>
      <c r="AFW30" s="377"/>
      <c r="AFX30" s="377"/>
      <c r="AFY30" s="377"/>
      <c r="AFZ30" s="377"/>
      <c r="AGA30" s="377"/>
      <c r="AGB30" s="377"/>
      <c r="AGC30" s="377"/>
    </row>
    <row r="31" spans="1:861" ht="14.25" customHeight="1" x14ac:dyDescent="0.25">
      <c r="A31" s="199">
        <v>9819</v>
      </c>
      <c r="B31" s="183" t="s">
        <v>63</v>
      </c>
      <c r="C31" s="301">
        <v>45821</v>
      </c>
      <c r="D31" s="301" t="s">
        <v>51</v>
      </c>
      <c r="E31" s="301">
        <v>45327</v>
      </c>
      <c r="F31" s="302" t="s">
        <v>51</v>
      </c>
      <c r="G31" s="302" t="s">
        <v>51</v>
      </c>
      <c r="H31" s="296">
        <v>45821</v>
      </c>
      <c r="I31" s="189"/>
      <c r="J31" s="183" t="s">
        <v>378</v>
      </c>
      <c r="K31" s="175" t="s">
        <v>379</v>
      </c>
      <c r="L31" s="175" t="s">
        <v>223</v>
      </c>
      <c r="M31" s="177" t="str">
        <f t="shared" si="8"/>
        <v>Requested</v>
      </c>
      <c r="N31" s="373">
        <v>9849779817</v>
      </c>
      <c r="O31" s="183"/>
      <c r="P31" s="117" t="s">
        <v>304</v>
      </c>
      <c r="Q31" s="175"/>
      <c r="R31" s="183"/>
      <c r="S31" s="175" t="s">
        <v>59</v>
      </c>
      <c r="T31" s="181" t="s">
        <v>224</v>
      </c>
      <c r="U31" s="20"/>
      <c r="V31" s="20" t="s">
        <v>67</v>
      </c>
      <c r="W31" s="20" t="s">
        <v>225</v>
      </c>
      <c r="X31" s="20"/>
      <c r="Y31" s="184">
        <v>15000</v>
      </c>
      <c r="Z31" s="184">
        <v>2000</v>
      </c>
      <c r="AA31" s="185">
        <v>0.24</v>
      </c>
      <c r="AB31" s="182">
        <f t="shared" si="9"/>
        <v>3600</v>
      </c>
      <c r="AC31" s="20"/>
      <c r="AD31" s="283">
        <v>107264</v>
      </c>
      <c r="AE31" s="300">
        <v>45821</v>
      </c>
      <c r="AF31" s="296">
        <v>45821</v>
      </c>
      <c r="AG31" s="296">
        <v>45863</v>
      </c>
      <c r="AH31" s="296">
        <v>45867</v>
      </c>
      <c r="AI31" s="353"/>
      <c r="AJ31" s="121"/>
      <c r="AK31" s="144" t="s">
        <v>62</v>
      </c>
      <c r="AL31" s="252"/>
      <c r="AM31" s="293"/>
      <c r="AN31" s="293"/>
      <c r="AO31" s="324"/>
      <c r="AP31" s="324">
        <f t="shared" si="10"/>
        <v>24</v>
      </c>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c r="DH31" s="248"/>
      <c r="DI31" s="248"/>
      <c r="DJ31" s="248"/>
      <c r="DK31" s="248"/>
      <c r="DL31" s="248"/>
      <c r="DM31" s="248"/>
      <c r="DN31" s="248"/>
      <c r="DO31" s="248"/>
      <c r="DP31" s="248"/>
      <c r="DQ31" s="248"/>
      <c r="DR31" s="248"/>
      <c r="DS31" s="248"/>
      <c r="DT31" s="248"/>
      <c r="DU31" s="248"/>
      <c r="DV31" s="248"/>
      <c r="DW31" s="248"/>
      <c r="DX31" s="248"/>
      <c r="DY31" s="248"/>
      <c r="DZ31" s="248"/>
      <c r="EA31" s="248"/>
      <c r="EB31" s="248"/>
      <c r="EC31" s="248"/>
      <c r="ED31" s="248"/>
      <c r="EE31" s="248"/>
      <c r="EF31" s="248"/>
      <c r="EG31" s="248"/>
      <c r="EH31" s="248"/>
      <c r="EI31" s="248"/>
      <c r="EJ31" s="248"/>
      <c r="EK31" s="248"/>
      <c r="EL31" s="248"/>
      <c r="EM31" s="248"/>
      <c r="EN31" s="248"/>
      <c r="EO31" s="248"/>
      <c r="EP31" s="248"/>
      <c r="EQ31" s="248"/>
      <c r="ER31" s="248"/>
      <c r="ES31" s="248"/>
      <c r="ET31" s="248"/>
      <c r="EU31" s="248"/>
      <c r="EV31" s="248"/>
      <c r="EW31" s="248"/>
      <c r="EX31" s="248"/>
      <c r="EY31" s="248"/>
      <c r="EZ31" s="248"/>
      <c r="FA31" s="248"/>
      <c r="FB31" s="248"/>
      <c r="FC31" s="248"/>
      <c r="FD31" s="248"/>
      <c r="FE31" s="248"/>
      <c r="FF31" s="248"/>
      <c r="FG31" s="248"/>
      <c r="FH31" s="248"/>
      <c r="FI31" s="248"/>
      <c r="FJ31" s="248"/>
      <c r="FK31" s="248"/>
      <c r="FL31" s="248"/>
      <c r="FM31" s="248"/>
      <c r="FN31" s="248"/>
      <c r="FO31" s="248"/>
      <c r="FP31" s="248"/>
      <c r="FQ31" s="248"/>
      <c r="FR31" s="248"/>
      <c r="FS31" s="248"/>
      <c r="FT31" s="248"/>
      <c r="FU31" s="248"/>
      <c r="FV31" s="248"/>
      <c r="FW31" s="248"/>
      <c r="FX31" s="248"/>
      <c r="FY31" s="248"/>
      <c r="FZ31" s="248"/>
      <c r="GA31" s="248"/>
      <c r="GB31" s="248"/>
      <c r="GC31" s="248"/>
      <c r="GD31" s="248"/>
      <c r="GE31" s="248"/>
      <c r="GF31" s="248"/>
      <c r="GG31" s="248"/>
      <c r="GH31" s="248"/>
      <c r="GI31" s="248"/>
      <c r="GJ31" s="248"/>
      <c r="GK31" s="248"/>
      <c r="GL31" s="248"/>
      <c r="GM31" s="248"/>
      <c r="GN31" s="248"/>
      <c r="GO31" s="248"/>
      <c r="GP31" s="248"/>
      <c r="GQ31" s="248"/>
      <c r="GR31" s="248"/>
      <c r="GS31" s="248"/>
      <c r="GT31" s="248"/>
      <c r="GU31" s="248"/>
      <c r="GV31" s="248"/>
      <c r="GW31" s="248"/>
      <c r="GX31" s="248"/>
      <c r="GY31" s="248"/>
      <c r="GZ31" s="248"/>
      <c r="HA31" s="248"/>
      <c r="HB31" s="248"/>
      <c r="HC31" s="248"/>
      <c r="HD31" s="248"/>
      <c r="HE31" s="248"/>
      <c r="HF31" s="248"/>
      <c r="HG31" s="248"/>
      <c r="HH31" s="248"/>
      <c r="HI31" s="248"/>
      <c r="HJ31" s="248"/>
      <c r="HK31" s="248"/>
      <c r="HL31" s="248"/>
      <c r="HM31" s="248"/>
      <c r="HN31" s="248"/>
      <c r="HO31" s="248"/>
      <c r="HP31" s="248"/>
      <c r="HQ31" s="248"/>
      <c r="HR31" s="248"/>
      <c r="HS31" s="248"/>
      <c r="HT31" s="248"/>
      <c r="HU31" s="248"/>
      <c r="HV31" s="248"/>
      <c r="HW31" s="248"/>
      <c r="HX31" s="248"/>
      <c r="HY31" s="248"/>
      <c r="HZ31" s="248"/>
      <c r="IA31" s="248"/>
      <c r="IB31" s="248"/>
      <c r="IC31" s="248"/>
      <c r="ID31" s="248"/>
      <c r="IE31" s="248"/>
      <c r="IF31" s="248"/>
      <c r="IG31" s="248"/>
      <c r="IH31" s="248"/>
      <c r="II31" s="248"/>
      <c r="IJ31" s="248"/>
      <c r="IK31" s="248"/>
      <c r="IL31" s="248"/>
      <c r="IM31" s="248"/>
      <c r="IN31" s="248"/>
      <c r="IO31" s="248"/>
      <c r="IP31" s="248"/>
      <c r="IQ31" s="248"/>
      <c r="IR31" s="248"/>
      <c r="IS31" s="248"/>
      <c r="IT31" s="248"/>
      <c r="IU31" s="248"/>
      <c r="IV31" s="248"/>
      <c r="IW31" s="248"/>
      <c r="IX31" s="248"/>
      <c r="IY31" s="248"/>
      <c r="IZ31" s="248"/>
      <c r="JA31" s="248"/>
      <c r="JB31" s="248"/>
      <c r="JC31" s="248"/>
      <c r="JD31" s="248"/>
      <c r="JE31" s="248"/>
      <c r="JF31" s="248"/>
      <c r="JG31" s="248"/>
      <c r="JH31" s="248"/>
      <c r="JI31" s="248"/>
      <c r="JJ31" s="248"/>
      <c r="JK31" s="248"/>
      <c r="JL31" s="248"/>
      <c r="JM31" s="248"/>
      <c r="JN31" s="248"/>
      <c r="JO31" s="248"/>
      <c r="JP31" s="248"/>
      <c r="JQ31" s="248"/>
      <c r="JR31" s="248"/>
      <c r="JS31" s="248"/>
      <c r="JT31" s="248"/>
      <c r="JU31" s="248"/>
      <c r="JV31" s="248"/>
      <c r="JW31" s="248"/>
      <c r="JX31" s="248"/>
      <c r="JY31" s="248"/>
      <c r="JZ31" s="248"/>
      <c r="KA31" s="248"/>
      <c r="KB31" s="248"/>
      <c r="KC31" s="248"/>
      <c r="KD31" s="248"/>
      <c r="KE31" s="248"/>
      <c r="KF31" s="248"/>
      <c r="KG31" s="248"/>
      <c r="KH31" s="248"/>
      <c r="KI31" s="248"/>
      <c r="KJ31" s="248"/>
      <c r="KK31" s="248"/>
      <c r="KL31" s="248"/>
      <c r="KM31" s="248"/>
      <c r="KN31" s="248"/>
      <c r="KO31" s="248"/>
      <c r="KP31" s="248"/>
      <c r="KQ31" s="248"/>
      <c r="KR31" s="248"/>
      <c r="KS31" s="248"/>
      <c r="KT31" s="248"/>
      <c r="KU31" s="248"/>
      <c r="KV31" s="248"/>
      <c r="KW31" s="248"/>
      <c r="KX31" s="248"/>
      <c r="KY31" s="248"/>
      <c r="KZ31" s="248"/>
      <c r="LA31" s="248"/>
      <c r="LB31" s="248"/>
      <c r="LC31" s="248"/>
      <c r="LD31" s="248"/>
      <c r="LE31" s="248"/>
      <c r="LF31" s="248"/>
      <c r="LG31" s="248"/>
      <c r="LH31" s="248"/>
      <c r="LI31" s="248"/>
      <c r="LJ31" s="248"/>
      <c r="LK31" s="248"/>
      <c r="LL31" s="248"/>
      <c r="LM31" s="248"/>
      <c r="LN31" s="248"/>
      <c r="LO31" s="248"/>
      <c r="LP31" s="248"/>
      <c r="LQ31" s="248"/>
      <c r="LR31" s="248"/>
      <c r="LS31" s="248"/>
      <c r="LT31" s="248"/>
      <c r="LU31" s="248"/>
      <c r="LV31" s="248"/>
      <c r="LW31" s="248"/>
      <c r="LX31" s="248"/>
      <c r="LY31" s="248"/>
      <c r="LZ31" s="248"/>
      <c r="MA31" s="248"/>
      <c r="MB31" s="248"/>
      <c r="MC31" s="248"/>
      <c r="MD31" s="248"/>
      <c r="ME31" s="248"/>
      <c r="MF31" s="248"/>
      <c r="MG31" s="248"/>
      <c r="MH31" s="248"/>
      <c r="MI31" s="248"/>
      <c r="MJ31" s="248"/>
      <c r="MK31" s="248"/>
      <c r="ML31" s="248"/>
      <c r="MM31" s="248"/>
      <c r="MN31" s="248"/>
      <c r="MO31" s="248"/>
      <c r="MP31" s="248"/>
      <c r="MQ31" s="248"/>
      <c r="MR31" s="248"/>
      <c r="MS31" s="248"/>
      <c r="MT31" s="248"/>
      <c r="MU31" s="248"/>
      <c r="MV31" s="248"/>
      <c r="MW31" s="248"/>
      <c r="MX31" s="248"/>
      <c r="MY31" s="248"/>
      <c r="MZ31" s="248"/>
      <c r="NA31" s="248"/>
      <c r="NB31" s="248"/>
      <c r="NC31" s="248"/>
      <c r="ND31" s="248"/>
      <c r="NE31" s="248"/>
      <c r="NF31" s="248"/>
      <c r="NG31" s="248"/>
      <c r="NH31" s="248"/>
      <c r="NI31" s="248"/>
      <c r="NJ31" s="248"/>
      <c r="NK31" s="248"/>
      <c r="NL31" s="248"/>
      <c r="NM31" s="248"/>
      <c r="NN31" s="248"/>
      <c r="NO31" s="248"/>
      <c r="NP31" s="248"/>
      <c r="NQ31" s="248"/>
      <c r="NR31" s="248"/>
      <c r="NS31" s="248"/>
      <c r="NT31" s="248"/>
      <c r="NU31" s="248"/>
      <c r="NV31" s="248"/>
      <c r="NW31" s="248"/>
      <c r="NX31" s="248"/>
      <c r="NY31" s="248"/>
      <c r="NZ31" s="248"/>
      <c r="OA31" s="248"/>
      <c r="OB31" s="248"/>
      <c r="OC31" s="248"/>
      <c r="OD31" s="248"/>
      <c r="OE31" s="248"/>
      <c r="OF31" s="248"/>
      <c r="OG31" s="248"/>
      <c r="OH31" s="248"/>
      <c r="OI31" s="248"/>
      <c r="OJ31" s="248"/>
      <c r="OK31" s="248"/>
      <c r="OL31" s="248"/>
      <c r="OM31" s="248"/>
      <c r="ON31" s="248"/>
      <c r="OO31" s="248"/>
      <c r="OP31" s="248"/>
      <c r="OQ31" s="248"/>
      <c r="OR31" s="248"/>
      <c r="OS31" s="248"/>
      <c r="OT31" s="248"/>
      <c r="OU31" s="248"/>
      <c r="OV31" s="248"/>
      <c r="OW31" s="248"/>
      <c r="OX31" s="248"/>
      <c r="OY31" s="248"/>
      <c r="OZ31" s="248"/>
      <c r="PA31" s="248"/>
      <c r="PB31" s="248"/>
      <c r="PC31" s="248"/>
      <c r="PD31" s="248"/>
      <c r="PE31" s="248"/>
      <c r="PF31" s="248"/>
      <c r="PG31" s="248"/>
      <c r="PH31" s="248"/>
      <c r="PI31" s="248"/>
      <c r="PJ31" s="248"/>
      <c r="PK31" s="248"/>
      <c r="PL31" s="248"/>
      <c r="PM31" s="248"/>
      <c r="PN31" s="248"/>
      <c r="PO31" s="248"/>
      <c r="PP31" s="248"/>
      <c r="PQ31" s="248"/>
      <c r="PR31" s="248"/>
      <c r="PS31" s="248"/>
      <c r="PT31" s="248"/>
      <c r="PU31" s="248"/>
      <c r="PV31" s="248"/>
      <c r="PW31" s="248"/>
      <c r="PX31" s="248"/>
      <c r="PY31" s="248"/>
      <c r="PZ31" s="248"/>
      <c r="QA31" s="248"/>
      <c r="QB31" s="248"/>
      <c r="QC31" s="248"/>
      <c r="QD31" s="248"/>
      <c r="QE31" s="248"/>
      <c r="QF31" s="248"/>
      <c r="QG31" s="248"/>
      <c r="QH31" s="248"/>
      <c r="QI31" s="248"/>
      <c r="QJ31" s="248"/>
      <c r="QK31" s="248"/>
      <c r="QL31" s="248"/>
      <c r="QM31" s="248"/>
      <c r="QN31" s="248"/>
      <c r="QO31" s="248"/>
      <c r="QP31" s="248"/>
      <c r="QQ31" s="248"/>
      <c r="QR31" s="248"/>
      <c r="QS31" s="248"/>
      <c r="QT31" s="248"/>
      <c r="QU31" s="248"/>
      <c r="QV31" s="248"/>
      <c r="QW31" s="248"/>
      <c r="QX31" s="248"/>
      <c r="QY31" s="248"/>
      <c r="QZ31" s="248"/>
      <c r="RA31" s="248"/>
      <c r="RB31" s="248"/>
      <c r="RC31" s="248"/>
      <c r="RD31" s="248"/>
      <c r="RE31" s="248"/>
      <c r="RF31" s="248"/>
      <c r="RG31" s="248"/>
      <c r="RH31" s="248"/>
      <c r="RI31" s="248"/>
      <c r="RJ31" s="248"/>
      <c r="RK31" s="248"/>
      <c r="RL31" s="248"/>
      <c r="RM31" s="248"/>
      <c r="RN31" s="248"/>
      <c r="RO31" s="248"/>
      <c r="RP31" s="248"/>
      <c r="RQ31" s="248"/>
      <c r="RR31" s="248"/>
      <c r="RS31" s="248"/>
      <c r="RT31" s="248"/>
      <c r="RU31" s="248"/>
      <c r="RV31" s="248"/>
      <c r="RW31" s="248"/>
      <c r="RX31" s="248"/>
      <c r="RY31" s="248"/>
      <c r="RZ31" s="248"/>
      <c r="SA31" s="248"/>
      <c r="SB31" s="248"/>
      <c r="SC31" s="248"/>
      <c r="SD31" s="248"/>
      <c r="SE31" s="248"/>
      <c r="SF31" s="248"/>
      <c r="SG31" s="248"/>
      <c r="SH31" s="248"/>
      <c r="SI31" s="248"/>
      <c r="SJ31" s="248"/>
      <c r="SK31" s="248"/>
      <c r="SL31" s="248"/>
      <c r="SM31" s="248"/>
      <c r="SN31" s="248"/>
      <c r="SO31" s="248"/>
      <c r="SP31" s="248"/>
      <c r="SQ31" s="248"/>
      <c r="SR31" s="248"/>
      <c r="SS31" s="248"/>
      <c r="ST31" s="248"/>
      <c r="SU31" s="248"/>
      <c r="SV31" s="248"/>
      <c r="SW31" s="248"/>
      <c r="SX31" s="248"/>
      <c r="SY31" s="248"/>
      <c r="SZ31" s="248"/>
      <c r="TA31" s="248"/>
      <c r="TB31" s="248"/>
      <c r="TC31" s="248"/>
      <c r="TD31" s="248"/>
      <c r="TE31" s="248"/>
      <c r="TF31" s="248"/>
      <c r="TG31" s="248"/>
      <c r="TH31" s="248"/>
      <c r="TI31" s="248"/>
      <c r="TJ31" s="248"/>
      <c r="TK31" s="248"/>
      <c r="TL31" s="248"/>
      <c r="TM31" s="248"/>
      <c r="TN31" s="248"/>
      <c r="TO31" s="248"/>
      <c r="TP31" s="248"/>
      <c r="TQ31" s="248"/>
      <c r="TR31" s="248"/>
      <c r="TS31" s="248"/>
      <c r="TT31" s="248"/>
      <c r="TU31" s="248"/>
      <c r="TV31" s="248"/>
      <c r="TW31" s="248"/>
      <c r="TX31" s="248"/>
      <c r="TY31" s="248"/>
      <c r="TZ31" s="248"/>
      <c r="UA31" s="248"/>
      <c r="UB31" s="248"/>
      <c r="UC31" s="248"/>
      <c r="UD31" s="248"/>
      <c r="UE31" s="248"/>
      <c r="UF31" s="248"/>
      <c r="UG31" s="248"/>
      <c r="UH31" s="248"/>
      <c r="UI31" s="248"/>
      <c r="UJ31" s="248"/>
      <c r="UK31" s="248"/>
      <c r="UL31" s="248"/>
      <c r="UM31" s="248"/>
      <c r="UN31" s="248"/>
      <c r="UO31" s="248"/>
      <c r="UP31" s="248"/>
      <c r="UQ31" s="248"/>
      <c r="UR31" s="248"/>
      <c r="US31" s="248"/>
      <c r="UT31" s="248"/>
      <c r="UU31" s="248"/>
      <c r="UV31" s="248"/>
      <c r="UW31" s="248"/>
      <c r="UX31" s="248"/>
      <c r="UY31" s="248"/>
      <c r="UZ31" s="248"/>
      <c r="VA31" s="248"/>
      <c r="VB31" s="248"/>
      <c r="VC31" s="248"/>
      <c r="VD31" s="248"/>
      <c r="VE31" s="248"/>
      <c r="VF31" s="248"/>
      <c r="VG31" s="248"/>
      <c r="VH31" s="248"/>
      <c r="VI31" s="248"/>
      <c r="VJ31" s="248"/>
      <c r="VK31" s="248"/>
      <c r="VL31" s="248"/>
      <c r="VM31" s="248"/>
      <c r="VN31" s="248"/>
      <c r="VO31" s="248"/>
      <c r="VP31" s="248"/>
      <c r="VQ31" s="248"/>
      <c r="VR31" s="248"/>
      <c r="VS31" s="248"/>
      <c r="VT31" s="248"/>
      <c r="VU31" s="248"/>
      <c r="VV31" s="248"/>
      <c r="VW31" s="248"/>
      <c r="VX31" s="248"/>
      <c r="VY31" s="248"/>
      <c r="VZ31" s="248"/>
      <c r="WA31" s="248"/>
      <c r="WB31" s="248"/>
      <c r="WC31" s="248"/>
      <c r="WD31" s="248"/>
      <c r="WE31" s="248"/>
      <c r="WF31" s="248"/>
      <c r="WG31" s="248"/>
      <c r="WH31" s="248"/>
      <c r="WI31" s="248"/>
      <c r="WJ31" s="248"/>
      <c r="WK31" s="248"/>
      <c r="WL31" s="248"/>
      <c r="WM31" s="248"/>
      <c r="WN31" s="248"/>
      <c r="WO31" s="248"/>
      <c r="WP31" s="248"/>
      <c r="WQ31" s="248"/>
      <c r="WR31" s="248"/>
      <c r="WS31" s="248"/>
      <c r="WT31" s="248"/>
      <c r="WU31" s="248"/>
      <c r="WV31" s="248"/>
      <c r="WW31" s="248"/>
      <c r="WX31" s="248"/>
      <c r="WY31" s="248"/>
      <c r="WZ31" s="248"/>
      <c r="XA31" s="248"/>
      <c r="XB31" s="248"/>
      <c r="XC31" s="248"/>
      <c r="XD31" s="248"/>
      <c r="XE31" s="248"/>
      <c r="XF31" s="248"/>
      <c r="XG31" s="248"/>
      <c r="XH31" s="248"/>
      <c r="XI31" s="248"/>
      <c r="XJ31" s="248"/>
      <c r="XK31" s="248"/>
      <c r="XL31" s="248"/>
      <c r="XM31" s="248"/>
      <c r="XN31" s="248"/>
      <c r="XO31" s="248"/>
      <c r="XP31" s="248"/>
      <c r="XQ31" s="248"/>
      <c r="XR31" s="248"/>
      <c r="XS31" s="248"/>
      <c r="XT31" s="248"/>
      <c r="XU31" s="248"/>
      <c r="XV31" s="248"/>
      <c r="XW31" s="248"/>
      <c r="XX31" s="248"/>
      <c r="XY31" s="248"/>
      <c r="XZ31" s="248"/>
      <c r="YA31" s="248"/>
      <c r="YB31" s="248"/>
      <c r="YC31" s="248"/>
      <c r="YD31" s="248"/>
      <c r="YE31" s="248"/>
      <c r="YF31" s="248"/>
      <c r="YG31" s="248"/>
      <c r="YH31" s="248"/>
      <c r="YI31" s="248"/>
      <c r="YJ31" s="248"/>
      <c r="YK31" s="248"/>
      <c r="YL31" s="248"/>
      <c r="YM31" s="248"/>
      <c r="YN31" s="248"/>
      <c r="YO31" s="248"/>
      <c r="YP31" s="248"/>
      <c r="YQ31" s="248"/>
      <c r="YR31" s="248"/>
      <c r="YS31" s="248"/>
      <c r="YT31" s="248"/>
      <c r="YU31" s="248"/>
      <c r="YV31" s="248"/>
      <c r="YW31" s="248"/>
      <c r="YX31" s="248"/>
      <c r="YY31" s="248"/>
      <c r="YZ31" s="248"/>
      <c r="ZA31" s="248"/>
      <c r="ZB31" s="248"/>
      <c r="ZC31" s="248"/>
      <c r="ZD31" s="248"/>
      <c r="ZE31" s="248"/>
      <c r="ZF31" s="248"/>
      <c r="ZG31" s="248"/>
      <c r="ZH31" s="248"/>
      <c r="ZI31" s="248"/>
      <c r="ZJ31" s="248"/>
      <c r="ZK31" s="248"/>
      <c r="ZL31" s="248"/>
      <c r="ZM31" s="248"/>
      <c r="ZN31" s="248"/>
      <c r="ZO31" s="248"/>
      <c r="ZP31" s="248"/>
      <c r="ZQ31" s="248"/>
      <c r="ZR31" s="248"/>
      <c r="ZS31" s="248"/>
      <c r="ZT31" s="248"/>
      <c r="ZU31" s="248"/>
      <c r="ZV31" s="248"/>
      <c r="ZW31" s="248"/>
      <c r="ZX31" s="248"/>
      <c r="ZY31" s="248"/>
      <c r="ZZ31" s="248"/>
      <c r="AAA31" s="248"/>
      <c r="AAB31" s="248"/>
      <c r="AAC31" s="248"/>
      <c r="AAD31" s="248"/>
      <c r="AAE31" s="248"/>
      <c r="AAF31" s="248"/>
      <c r="AAG31" s="248"/>
      <c r="AAH31" s="248"/>
      <c r="AAI31" s="248"/>
      <c r="AAJ31" s="248"/>
      <c r="AAK31" s="248"/>
      <c r="AAL31" s="248"/>
      <c r="AAM31" s="248"/>
      <c r="AAN31" s="248"/>
      <c r="AAO31" s="248"/>
      <c r="AAP31" s="248"/>
      <c r="AAQ31" s="248"/>
      <c r="AAR31" s="248"/>
      <c r="AAS31" s="248"/>
      <c r="AAT31" s="248"/>
      <c r="AAU31" s="248"/>
      <c r="AAV31" s="248"/>
      <c r="AAW31" s="248"/>
      <c r="AAX31" s="248"/>
      <c r="AAY31" s="248"/>
      <c r="AAZ31" s="248"/>
      <c r="ABA31" s="248"/>
      <c r="ABB31" s="248"/>
      <c r="ABC31" s="248"/>
      <c r="ABD31" s="248"/>
      <c r="ABE31" s="248"/>
      <c r="ABF31" s="248"/>
      <c r="ABG31" s="248"/>
      <c r="ABH31" s="248"/>
      <c r="ABI31" s="248"/>
      <c r="ABJ31" s="248"/>
      <c r="ABK31" s="248"/>
      <c r="ABL31" s="248"/>
      <c r="ABM31" s="248"/>
      <c r="ABN31" s="248"/>
      <c r="ABO31" s="248"/>
      <c r="ABP31" s="248"/>
      <c r="ABQ31" s="248"/>
      <c r="ABR31" s="248"/>
      <c r="ABS31" s="248"/>
      <c r="ABT31" s="248"/>
      <c r="ABU31" s="248"/>
      <c r="ABV31" s="248"/>
      <c r="ABW31" s="248"/>
      <c r="ABX31" s="248"/>
      <c r="ABY31" s="248"/>
      <c r="ABZ31" s="248"/>
      <c r="ACA31" s="248"/>
      <c r="ACB31" s="248"/>
      <c r="ACC31" s="248"/>
      <c r="ACD31" s="248"/>
      <c r="ACE31" s="248"/>
      <c r="ACF31" s="248"/>
      <c r="ACG31" s="248"/>
      <c r="ACH31" s="248"/>
      <c r="ACI31" s="248"/>
      <c r="ACJ31" s="248"/>
      <c r="ACK31" s="248"/>
      <c r="ACL31" s="248"/>
      <c r="ACM31" s="248"/>
      <c r="ACN31" s="248"/>
      <c r="ACO31" s="248"/>
      <c r="ACP31" s="248"/>
      <c r="ACQ31" s="248"/>
      <c r="ACR31" s="248"/>
      <c r="ACS31" s="248"/>
      <c r="ACT31" s="248"/>
      <c r="ACU31" s="248"/>
      <c r="ACV31" s="248"/>
      <c r="ACW31" s="248"/>
      <c r="ACX31" s="248"/>
      <c r="ACY31" s="248"/>
      <c r="ACZ31" s="248"/>
      <c r="ADA31" s="248"/>
      <c r="ADB31" s="248"/>
      <c r="ADC31" s="248"/>
      <c r="ADD31" s="248"/>
      <c r="ADE31" s="248"/>
      <c r="ADF31" s="248"/>
      <c r="ADG31" s="248"/>
      <c r="ADH31" s="248"/>
      <c r="ADI31" s="248"/>
      <c r="ADJ31" s="248"/>
      <c r="ADK31" s="248"/>
      <c r="ADL31" s="248"/>
      <c r="ADM31" s="248"/>
      <c r="ADN31" s="248"/>
      <c r="ADO31" s="248"/>
      <c r="ADP31" s="248"/>
      <c r="ADQ31" s="248"/>
      <c r="ADR31" s="248"/>
      <c r="ADS31" s="248"/>
      <c r="ADT31" s="248"/>
      <c r="ADU31" s="248"/>
      <c r="ADV31" s="248"/>
      <c r="ADW31" s="248"/>
      <c r="ADX31" s="248"/>
      <c r="ADY31" s="248"/>
      <c r="ADZ31" s="248"/>
      <c r="AEA31" s="248"/>
      <c r="AEB31" s="248"/>
      <c r="AEC31" s="248"/>
      <c r="AED31" s="248"/>
      <c r="AEE31" s="248"/>
      <c r="AEF31" s="248"/>
      <c r="AEG31" s="248"/>
      <c r="AEH31" s="248"/>
      <c r="AEI31" s="248"/>
      <c r="AEJ31" s="248"/>
      <c r="AEK31" s="248"/>
      <c r="AEL31" s="248"/>
      <c r="AEM31" s="248"/>
      <c r="AEN31" s="248"/>
      <c r="AEO31" s="248"/>
      <c r="AEP31" s="248"/>
      <c r="AEQ31" s="248"/>
      <c r="AER31" s="248"/>
      <c r="AES31" s="248"/>
      <c r="AET31" s="248"/>
      <c r="AEU31" s="248"/>
      <c r="AEV31" s="248"/>
      <c r="AEW31" s="248"/>
      <c r="AEX31" s="248"/>
      <c r="AEY31" s="248"/>
      <c r="AEZ31" s="248"/>
      <c r="AFA31" s="248"/>
      <c r="AFB31" s="248"/>
      <c r="AFC31" s="248"/>
      <c r="AFD31" s="248"/>
      <c r="AFE31" s="248"/>
      <c r="AFF31" s="248"/>
      <c r="AFG31" s="248"/>
      <c r="AFH31" s="248"/>
      <c r="AFI31" s="248"/>
      <c r="AFJ31" s="248"/>
      <c r="AFK31" s="248"/>
      <c r="AFL31" s="248"/>
      <c r="AFM31" s="248"/>
      <c r="AFN31" s="248"/>
      <c r="AFO31" s="248"/>
      <c r="AFP31" s="248"/>
      <c r="AFQ31" s="248"/>
      <c r="AFR31" s="248"/>
      <c r="AFS31" s="248"/>
      <c r="AFT31" s="248"/>
      <c r="AFU31" s="248"/>
      <c r="AFV31" s="248"/>
      <c r="AFW31" s="248"/>
      <c r="AFX31" s="248"/>
      <c r="AFY31" s="248"/>
      <c r="AFZ31" s="248"/>
      <c r="AGA31" s="248"/>
      <c r="AGB31" s="248"/>
      <c r="AGC31" s="271"/>
    </row>
    <row r="32" spans="1:861" ht="14.25" customHeight="1" x14ac:dyDescent="0.2">
      <c r="A32" s="203">
        <v>9820</v>
      </c>
      <c r="B32" s="183" t="s">
        <v>467</v>
      </c>
      <c r="C32" s="301">
        <v>45824</v>
      </c>
      <c r="D32" s="307" t="s">
        <v>51</v>
      </c>
      <c r="E32" s="307">
        <v>45824</v>
      </c>
      <c r="F32" s="307" t="s">
        <v>51</v>
      </c>
      <c r="G32" s="307" t="s">
        <v>51</v>
      </c>
      <c r="H32" s="301">
        <v>45824</v>
      </c>
      <c r="I32" s="189"/>
      <c r="J32" s="183" t="s">
        <v>408</v>
      </c>
      <c r="K32" s="175" t="s">
        <v>380</v>
      </c>
      <c r="L32" s="175" t="s">
        <v>229</v>
      </c>
      <c r="M32" s="177">
        <f t="shared" si="8"/>
        <v>45281</v>
      </c>
      <c r="N32" s="179">
        <v>3212595009</v>
      </c>
      <c r="O32" s="183">
        <v>1121</v>
      </c>
      <c r="P32" s="376" t="s">
        <v>381</v>
      </c>
      <c r="Q32" s="175"/>
      <c r="R32" s="183"/>
      <c r="S32" s="175" t="s">
        <v>59</v>
      </c>
      <c r="T32" s="181" t="s">
        <v>565</v>
      </c>
      <c r="U32" s="20" t="s">
        <v>295</v>
      </c>
      <c r="V32" s="20" t="s">
        <v>67</v>
      </c>
      <c r="W32" s="20" t="s">
        <v>566</v>
      </c>
      <c r="X32" s="20"/>
      <c r="Y32" s="184">
        <v>50</v>
      </c>
      <c r="Z32" s="184">
        <v>50</v>
      </c>
      <c r="AA32" s="185">
        <v>32.6</v>
      </c>
      <c r="AB32" s="182">
        <f t="shared" si="9"/>
        <v>1630</v>
      </c>
      <c r="AC32" s="20"/>
      <c r="AD32" s="282"/>
      <c r="AE32" s="300"/>
      <c r="AF32" s="301"/>
      <c r="AG32" s="301"/>
      <c r="AH32" s="300"/>
      <c r="AI32" s="220"/>
      <c r="AJ32" s="204"/>
      <c r="AK32" s="144" t="s">
        <v>62</v>
      </c>
      <c r="AL32" s="377"/>
      <c r="AM32" s="378"/>
      <c r="AN32" s="378"/>
      <c r="AO32" s="379"/>
      <c r="AP32" s="379">
        <f t="shared" si="10"/>
        <v>25</v>
      </c>
      <c r="AQ32" s="377"/>
      <c r="AR32" s="377"/>
      <c r="AS32" s="377"/>
      <c r="AT32" s="377"/>
      <c r="AU32" s="377"/>
      <c r="AV32" s="377"/>
      <c r="AW32" s="377"/>
      <c r="AX32" s="377"/>
      <c r="AY32" s="377"/>
      <c r="AZ32" s="377"/>
      <c r="BA32" s="377"/>
      <c r="BB32" s="377"/>
      <c r="BC32" s="377"/>
      <c r="BD32" s="377"/>
      <c r="BE32" s="377"/>
      <c r="BF32" s="377"/>
      <c r="BG32" s="377"/>
      <c r="BH32" s="377"/>
      <c r="BI32" s="377"/>
      <c r="BJ32" s="377"/>
      <c r="BK32" s="377"/>
      <c r="BL32" s="377"/>
      <c r="BM32" s="377"/>
      <c r="BN32" s="377"/>
      <c r="BO32" s="377"/>
      <c r="BP32" s="377"/>
      <c r="BQ32" s="377"/>
      <c r="BR32" s="377"/>
      <c r="BS32" s="377"/>
      <c r="BT32" s="377"/>
      <c r="BU32" s="377"/>
      <c r="BV32" s="377"/>
      <c r="BW32" s="377"/>
      <c r="BX32" s="377"/>
      <c r="BY32" s="377"/>
      <c r="BZ32" s="377"/>
      <c r="CA32" s="377"/>
      <c r="CB32" s="377"/>
      <c r="CC32" s="377"/>
      <c r="CD32" s="377"/>
      <c r="CE32" s="377"/>
      <c r="CF32" s="377"/>
      <c r="CG32" s="377"/>
      <c r="CH32" s="377"/>
      <c r="CI32" s="377"/>
      <c r="CJ32" s="377"/>
      <c r="CK32" s="377"/>
      <c r="CL32" s="377"/>
      <c r="CM32" s="377"/>
      <c r="CN32" s="377"/>
      <c r="CO32" s="377"/>
      <c r="CP32" s="377"/>
      <c r="CQ32" s="377"/>
      <c r="CR32" s="377"/>
      <c r="CS32" s="377"/>
      <c r="CT32" s="377"/>
      <c r="CU32" s="377"/>
      <c r="CV32" s="377"/>
      <c r="CW32" s="377"/>
      <c r="CX32" s="377"/>
      <c r="CY32" s="377"/>
      <c r="CZ32" s="377"/>
      <c r="DA32" s="377"/>
      <c r="DB32" s="377"/>
      <c r="DC32" s="377"/>
      <c r="DD32" s="377"/>
      <c r="DE32" s="377"/>
      <c r="DF32" s="377"/>
      <c r="DG32" s="377"/>
      <c r="DH32" s="377"/>
      <c r="DI32" s="377"/>
      <c r="DJ32" s="377"/>
      <c r="DK32" s="377"/>
      <c r="DL32" s="377"/>
      <c r="DM32" s="377"/>
      <c r="DN32" s="377"/>
      <c r="DO32" s="377"/>
      <c r="DP32" s="377"/>
      <c r="DQ32" s="377"/>
      <c r="DR32" s="377"/>
      <c r="DS32" s="377"/>
      <c r="DT32" s="377"/>
      <c r="DU32" s="377"/>
      <c r="DV32" s="377"/>
      <c r="DW32" s="377"/>
      <c r="DX32" s="377"/>
      <c r="DY32" s="377"/>
      <c r="DZ32" s="377"/>
      <c r="EA32" s="377"/>
      <c r="EB32" s="377"/>
      <c r="EC32" s="377"/>
      <c r="ED32" s="377"/>
      <c r="EE32" s="377"/>
      <c r="EF32" s="377"/>
      <c r="EG32" s="377"/>
      <c r="EH32" s="377"/>
      <c r="EI32" s="377"/>
      <c r="EJ32" s="377"/>
      <c r="EK32" s="377"/>
      <c r="EL32" s="377"/>
      <c r="EM32" s="377"/>
      <c r="EN32" s="377"/>
      <c r="EO32" s="377"/>
      <c r="EP32" s="377"/>
      <c r="EQ32" s="377"/>
      <c r="ER32" s="377"/>
      <c r="ES32" s="377"/>
      <c r="ET32" s="377"/>
      <c r="EU32" s="377"/>
      <c r="EV32" s="377"/>
      <c r="EW32" s="377"/>
      <c r="EX32" s="377"/>
      <c r="EY32" s="377"/>
      <c r="EZ32" s="377"/>
      <c r="FA32" s="377"/>
      <c r="FB32" s="377"/>
      <c r="FC32" s="377"/>
      <c r="FD32" s="377"/>
      <c r="FE32" s="377"/>
      <c r="FF32" s="377"/>
      <c r="FG32" s="377"/>
      <c r="FH32" s="377"/>
      <c r="FI32" s="377"/>
      <c r="FJ32" s="377"/>
      <c r="FK32" s="377"/>
      <c r="FL32" s="377"/>
      <c r="FM32" s="377"/>
      <c r="FN32" s="377"/>
      <c r="FO32" s="377"/>
      <c r="FP32" s="377"/>
      <c r="FQ32" s="377"/>
      <c r="FR32" s="377"/>
      <c r="FS32" s="377"/>
      <c r="FT32" s="377"/>
      <c r="FU32" s="377"/>
      <c r="FV32" s="377"/>
      <c r="FW32" s="377"/>
      <c r="FX32" s="377"/>
      <c r="FY32" s="377"/>
      <c r="FZ32" s="377"/>
      <c r="GA32" s="377"/>
      <c r="GB32" s="377"/>
      <c r="GC32" s="377"/>
      <c r="GD32" s="377"/>
      <c r="GE32" s="377"/>
      <c r="GF32" s="377"/>
      <c r="GG32" s="377"/>
      <c r="GH32" s="377"/>
      <c r="GI32" s="377"/>
      <c r="GJ32" s="377"/>
      <c r="GK32" s="377"/>
      <c r="GL32" s="377"/>
      <c r="GM32" s="377"/>
      <c r="GN32" s="377"/>
      <c r="GO32" s="377"/>
      <c r="GP32" s="377"/>
      <c r="GQ32" s="377"/>
      <c r="GR32" s="377"/>
      <c r="GS32" s="377"/>
      <c r="GT32" s="377"/>
      <c r="GU32" s="377"/>
      <c r="GV32" s="377"/>
      <c r="GW32" s="377"/>
      <c r="GX32" s="377"/>
      <c r="GY32" s="377"/>
      <c r="GZ32" s="377"/>
      <c r="HA32" s="377"/>
      <c r="HB32" s="377"/>
      <c r="HC32" s="377"/>
      <c r="HD32" s="377"/>
      <c r="HE32" s="377"/>
      <c r="HF32" s="377"/>
      <c r="HG32" s="377"/>
      <c r="HH32" s="377"/>
      <c r="HI32" s="377"/>
      <c r="HJ32" s="377"/>
      <c r="HK32" s="377"/>
      <c r="HL32" s="377"/>
      <c r="HM32" s="377"/>
      <c r="HN32" s="377"/>
      <c r="HO32" s="377"/>
      <c r="HP32" s="377"/>
      <c r="HQ32" s="377"/>
      <c r="HR32" s="377"/>
      <c r="HS32" s="377"/>
      <c r="HT32" s="377"/>
      <c r="HU32" s="377"/>
      <c r="HV32" s="377"/>
      <c r="HW32" s="377"/>
      <c r="HX32" s="377"/>
      <c r="HY32" s="377"/>
      <c r="HZ32" s="377"/>
      <c r="IA32" s="377"/>
      <c r="IB32" s="377"/>
      <c r="IC32" s="377"/>
      <c r="ID32" s="377"/>
      <c r="IE32" s="377"/>
      <c r="IF32" s="377"/>
      <c r="IG32" s="377"/>
      <c r="IH32" s="377"/>
      <c r="II32" s="377"/>
      <c r="IJ32" s="377"/>
      <c r="IK32" s="377"/>
      <c r="IL32" s="377"/>
      <c r="IM32" s="377"/>
      <c r="IN32" s="377"/>
      <c r="IO32" s="377"/>
      <c r="IP32" s="377"/>
      <c r="IQ32" s="377"/>
      <c r="IR32" s="377"/>
      <c r="IS32" s="377"/>
      <c r="IT32" s="377"/>
      <c r="IU32" s="377"/>
      <c r="IV32" s="377"/>
      <c r="IW32" s="377"/>
      <c r="IX32" s="377"/>
      <c r="IY32" s="377"/>
      <c r="IZ32" s="377"/>
      <c r="JA32" s="377"/>
      <c r="JB32" s="377"/>
      <c r="JC32" s="377"/>
      <c r="JD32" s="377"/>
      <c r="JE32" s="377"/>
      <c r="JF32" s="377"/>
      <c r="JG32" s="377"/>
      <c r="JH32" s="377"/>
      <c r="JI32" s="377"/>
      <c r="JJ32" s="377"/>
      <c r="JK32" s="377"/>
      <c r="JL32" s="377"/>
      <c r="JM32" s="377"/>
      <c r="JN32" s="377"/>
      <c r="JO32" s="377"/>
      <c r="JP32" s="377"/>
      <c r="JQ32" s="377"/>
      <c r="JR32" s="377"/>
      <c r="JS32" s="377"/>
      <c r="JT32" s="377"/>
      <c r="JU32" s="377"/>
      <c r="JV32" s="377"/>
      <c r="JW32" s="377"/>
      <c r="JX32" s="377"/>
      <c r="JY32" s="377"/>
      <c r="JZ32" s="377"/>
      <c r="KA32" s="377"/>
      <c r="KB32" s="377"/>
      <c r="KC32" s="377"/>
      <c r="KD32" s="377"/>
      <c r="KE32" s="377"/>
      <c r="KF32" s="377"/>
      <c r="KG32" s="377"/>
      <c r="KH32" s="377"/>
      <c r="KI32" s="377"/>
      <c r="KJ32" s="377"/>
      <c r="KK32" s="377"/>
      <c r="KL32" s="377"/>
      <c r="KM32" s="377"/>
      <c r="KN32" s="377"/>
      <c r="KO32" s="377"/>
      <c r="KP32" s="377"/>
      <c r="KQ32" s="377"/>
      <c r="KR32" s="377"/>
      <c r="KS32" s="377"/>
      <c r="KT32" s="377"/>
      <c r="KU32" s="377"/>
      <c r="KV32" s="377"/>
      <c r="KW32" s="377"/>
      <c r="KX32" s="377"/>
      <c r="KY32" s="377"/>
      <c r="KZ32" s="377"/>
      <c r="LA32" s="377"/>
      <c r="LB32" s="377"/>
      <c r="LC32" s="377"/>
      <c r="LD32" s="377"/>
      <c r="LE32" s="377"/>
      <c r="LF32" s="377"/>
      <c r="LG32" s="377"/>
      <c r="LH32" s="377"/>
      <c r="LI32" s="377"/>
      <c r="LJ32" s="377"/>
      <c r="LK32" s="377"/>
      <c r="LL32" s="377"/>
      <c r="LM32" s="377"/>
      <c r="LN32" s="377"/>
      <c r="LO32" s="377"/>
      <c r="LP32" s="377"/>
      <c r="LQ32" s="377"/>
      <c r="LR32" s="377"/>
      <c r="LS32" s="377"/>
      <c r="LT32" s="377"/>
      <c r="LU32" s="377"/>
      <c r="LV32" s="377"/>
      <c r="LW32" s="377"/>
      <c r="LX32" s="377"/>
      <c r="LY32" s="377"/>
      <c r="LZ32" s="377"/>
      <c r="MA32" s="377"/>
      <c r="MB32" s="377"/>
      <c r="MC32" s="377"/>
      <c r="MD32" s="377"/>
      <c r="ME32" s="377"/>
      <c r="MF32" s="377"/>
      <c r="MG32" s="377"/>
      <c r="MH32" s="377"/>
      <c r="MI32" s="377"/>
      <c r="MJ32" s="377"/>
      <c r="MK32" s="377"/>
      <c r="ML32" s="377"/>
      <c r="MM32" s="377"/>
      <c r="MN32" s="377"/>
      <c r="MO32" s="377"/>
      <c r="MP32" s="377"/>
      <c r="MQ32" s="377"/>
      <c r="MR32" s="377"/>
      <c r="MS32" s="377"/>
      <c r="MT32" s="377"/>
      <c r="MU32" s="377"/>
      <c r="MV32" s="377"/>
      <c r="MW32" s="377"/>
      <c r="MX32" s="377"/>
      <c r="MY32" s="377"/>
      <c r="MZ32" s="377"/>
      <c r="NA32" s="377"/>
      <c r="NB32" s="377"/>
      <c r="NC32" s="377"/>
      <c r="ND32" s="377"/>
      <c r="NE32" s="377"/>
      <c r="NF32" s="377"/>
      <c r="NG32" s="377"/>
      <c r="NH32" s="377"/>
      <c r="NI32" s="377"/>
      <c r="NJ32" s="377"/>
      <c r="NK32" s="377"/>
      <c r="NL32" s="377"/>
      <c r="NM32" s="377"/>
      <c r="NN32" s="377"/>
      <c r="NO32" s="377"/>
      <c r="NP32" s="377"/>
      <c r="NQ32" s="377"/>
      <c r="NR32" s="377"/>
      <c r="NS32" s="377"/>
      <c r="NT32" s="377"/>
      <c r="NU32" s="377"/>
      <c r="NV32" s="377"/>
      <c r="NW32" s="377"/>
      <c r="NX32" s="377"/>
      <c r="NY32" s="377"/>
      <c r="NZ32" s="377"/>
      <c r="OA32" s="377"/>
      <c r="OB32" s="377"/>
      <c r="OC32" s="377"/>
      <c r="OD32" s="377"/>
      <c r="OE32" s="377"/>
      <c r="OF32" s="377"/>
      <c r="OG32" s="377"/>
      <c r="OH32" s="377"/>
      <c r="OI32" s="377"/>
      <c r="OJ32" s="377"/>
      <c r="OK32" s="377"/>
      <c r="OL32" s="377"/>
      <c r="OM32" s="377"/>
      <c r="ON32" s="377"/>
      <c r="OO32" s="377"/>
      <c r="OP32" s="377"/>
      <c r="OQ32" s="377"/>
      <c r="OR32" s="377"/>
      <c r="OS32" s="377"/>
      <c r="OT32" s="377"/>
      <c r="OU32" s="377"/>
      <c r="OV32" s="377"/>
      <c r="OW32" s="377"/>
      <c r="OX32" s="377"/>
      <c r="OY32" s="377"/>
      <c r="OZ32" s="377"/>
      <c r="PA32" s="377"/>
      <c r="PB32" s="377"/>
      <c r="PC32" s="377"/>
      <c r="PD32" s="377"/>
      <c r="PE32" s="377"/>
      <c r="PF32" s="377"/>
      <c r="PG32" s="377"/>
      <c r="PH32" s="377"/>
      <c r="PI32" s="377"/>
      <c r="PJ32" s="377"/>
      <c r="PK32" s="377"/>
      <c r="PL32" s="377"/>
      <c r="PM32" s="377"/>
      <c r="PN32" s="377"/>
      <c r="PO32" s="377"/>
      <c r="PP32" s="377"/>
      <c r="PQ32" s="377"/>
      <c r="PR32" s="377"/>
      <c r="PS32" s="377"/>
      <c r="PT32" s="377"/>
      <c r="PU32" s="377"/>
      <c r="PV32" s="377"/>
      <c r="PW32" s="377"/>
      <c r="PX32" s="377"/>
      <c r="PY32" s="377"/>
      <c r="PZ32" s="377"/>
      <c r="QA32" s="377"/>
      <c r="QB32" s="377"/>
      <c r="QC32" s="377"/>
      <c r="QD32" s="377"/>
      <c r="QE32" s="377"/>
      <c r="QF32" s="377"/>
      <c r="QG32" s="377"/>
      <c r="QH32" s="377"/>
      <c r="QI32" s="377"/>
      <c r="QJ32" s="377"/>
      <c r="QK32" s="377"/>
      <c r="QL32" s="377"/>
      <c r="QM32" s="377"/>
      <c r="QN32" s="377"/>
      <c r="QO32" s="377"/>
      <c r="QP32" s="377"/>
      <c r="QQ32" s="377"/>
      <c r="QR32" s="377"/>
      <c r="QS32" s="377"/>
      <c r="QT32" s="377"/>
      <c r="QU32" s="377"/>
      <c r="QV32" s="377"/>
      <c r="QW32" s="377"/>
      <c r="QX32" s="377"/>
      <c r="QY32" s="377"/>
      <c r="QZ32" s="377"/>
      <c r="RA32" s="377"/>
      <c r="RB32" s="377"/>
      <c r="RC32" s="377"/>
      <c r="RD32" s="377"/>
      <c r="RE32" s="377"/>
      <c r="RF32" s="377"/>
      <c r="RG32" s="377"/>
      <c r="RH32" s="377"/>
      <c r="RI32" s="377"/>
      <c r="RJ32" s="377"/>
      <c r="RK32" s="377"/>
      <c r="RL32" s="377"/>
      <c r="RM32" s="377"/>
      <c r="RN32" s="377"/>
      <c r="RO32" s="377"/>
      <c r="RP32" s="377"/>
      <c r="RQ32" s="377"/>
      <c r="RR32" s="377"/>
      <c r="RS32" s="377"/>
      <c r="RT32" s="377"/>
      <c r="RU32" s="377"/>
      <c r="RV32" s="377"/>
      <c r="RW32" s="377"/>
      <c r="RX32" s="377"/>
      <c r="RY32" s="377"/>
      <c r="RZ32" s="377"/>
      <c r="SA32" s="377"/>
      <c r="SB32" s="377"/>
      <c r="SC32" s="377"/>
      <c r="SD32" s="377"/>
      <c r="SE32" s="377"/>
      <c r="SF32" s="377"/>
      <c r="SG32" s="377"/>
      <c r="SH32" s="377"/>
      <c r="SI32" s="377"/>
      <c r="SJ32" s="377"/>
      <c r="SK32" s="377"/>
      <c r="SL32" s="377"/>
      <c r="SM32" s="377"/>
      <c r="SN32" s="377"/>
      <c r="SO32" s="377"/>
      <c r="SP32" s="377"/>
      <c r="SQ32" s="377"/>
      <c r="SR32" s="377"/>
      <c r="SS32" s="377"/>
      <c r="ST32" s="377"/>
      <c r="SU32" s="377"/>
      <c r="SV32" s="377"/>
      <c r="SW32" s="377"/>
      <c r="SX32" s="377"/>
      <c r="SY32" s="377"/>
      <c r="SZ32" s="377"/>
      <c r="TA32" s="377"/>
      <c r="TB32" s="377"/>
      <c r="TC32" s="377"/>
      <c r="TD32" s="377"/>
      <c r="TE32" s="377"/>
      <c r="TF32" s="377"/>
      <c r="TG32" s="377"/>
      <c r="TH32" s="377"/>
      <c r="TI32" s="377"/>
      <c r="TJ32" s="377"/>
      <c r="TK32" s="377"/>
      <c r="TL32" s="377"/>
      <c r="TM32" s="377"/>
      <c r="TN32" s="377"/>
      <c r="TO32" s="377"/>
      <c r="TP32" s="377"/>
      <c r="TQ32" s="377"/>
      <c r="TR32" s="377"/>
      <c r="TS32" s="377"/>
      <c r="TT32" s="377"/>
      <c r="TU32" s="377"/>
      <c r="TV32" s="377"/>
      <c r="TW32" s="377"/>
      <c r="TX32" s="377"/>
      <c r="TY32" s="377"/>
      <c r="TZ32" s="377"/>
      <c r="UA32" s="377"/>
      <c r="UB32" s="377"/>
      <c r="UC32" s="377"/>
      <c r="UD32" s="377"/>
      <c r="UE32" s="377"/>
      <c r="UF32" s="377"/>
      <c r="UG32" s="377"/>
      <c r="UH32" s="377"/>
      <c r="UI32" s="377"/>
      <c r="UJ32" s="377"/>
      <c r="UK32" s="377"/>
      <c r="UL32" s="377"/>
      <c r="UM32" s="377"/>
      <c r="UN32" s="377"/>
      <c r="UO32" s="377"/>
      <c r="UP32" s="377"/>
      <c r="UQ32" s="377"/>
      <c r="UR32" s="377"/>
      <c r="US32" s="377"/>
      <c r="UT32" s="377"/>
      <c r="UU32" s="377"/>
      <c r="UV32" s="377"/>
      <c r="UW32" s="377"/>
      <c r="UX32" s="377"/>
      <c r="UY32" s="377"/>
      <c r="UZ32" s="377"/>
      <c r="VA32" s="377"/>
      <c r="VB32" s="377"/>
      <c r="VC32" s="377"/>
      <c r="VD32" s="377"/>
      <c r="VE32" s="377"/>
      <c r="VF32" s="377"/>
      <c r="VG32" s="377"/>
      <c r="VH32" s="377"/>
      <c r="VI32" s="377"/>
      <c r="VJ32" s="377"/>
      <c r="VK32" s="377"/>
      <c r="VL32" s="377"/>
      <c r="VM32" s="377"/>
      <c r="VN32" s="377"/>
      <c r="VO32" s="377"/>
      <c r="VP32" s="377"/>
      <c r="VQ32" s="377"/>
      <c r="VR32" s="377"/>
      <c r="VS32" s="377"/>
      <c r="VT32" s="377"/>
      <c r="VU32" s="377"/>
      <c r="VV32" s="377"/>
      <c r="VW32" s="377"/>
      <c r="VX32" s="377"/>
      <c r="VY32" s="377"/>
      <c r="VZ32" s="377"/>
      <c r="WA32" s="377"/>
      <c r="WB32" s="377"/>
      <c r="WC32" s="377"/>
      <c r="WD32" s="377"/>
      <c r="WE32" s="377"/>
      <c r="WF32" s="377"/>
      <c r="WG32" s="377"/>
      <c r="WH32" s="377"/>
      <c r="WI32" s="377"/>
      <c r="WJ32" s="377"/>
      <c r="WK32" s="377"/>
      <c r="WL32" s="377"/>
      <c r="WM32" s="377"/>
      <c r="WN32" s="377"/>
      <c r="WO32" s="377"/>
      <c r="WP32" s="377"/>
      <c r="WQ32" s="377"/>
      <c r="WR32" s="377"/>
      <c r="WS32" s="377"/>
      <c r="WT32" s="377"/>
      <c r="WU32" s="377"/>
      <c r="WV32" s="377"/>
      <c r="WW32" s="377"/>
      <c r="WX32" s="377"/>
      <c r="WY32" s="377"/>
      <c r="WZ32" s="377"/>
      <c r="XA32" s="377"/>
      <c r="XB32" s="377"/>
      <c r="XC32" s="377"/>
      <c r="XD32" s="377"/>
      <c r="XE32" s="377"/>
      <c r="XF32" s="377"/>
      <c r="XG32" s="377"/>
      <c r="XH32" s="377"/>
      <c r="XI32" s="377"/>
      <c r="XJ32" s="377"/>
      <c r="XK32" s="377"/>
      <c r="XL32" s="377"/>
      <c r="XM32" s="377"/>
      <c r="XN32" s="377"/>
      <c r="XO32" s="377"/>
      <c r="XP32" s="377"/>
      <c r="XQ32" s="377"/>
      <c r="XR32" s="377"/>
      <c r="XS32" s="377"/>
      <c r="XT32" s="377"/>
      <c r="XU32" s="377"/>
      <c r="XV32" s="377"/>
      <c r="XW32" s="377"/>
      <c r="XX32" s="377"/>
      <c r="XY32" s="377"/>
      <c r="XZ32" s="377"/>
      <c r="YA32" s="377"/>
      <c r="YB32" s="377"/>
      <c r="YC32" s="377"/>
      <c r="YD32" s="377"/>
      <c r="YE32" s="377"/>
      <c r="YF32" s="377"/>
      <c r="YG32" s="377"/>
      <c r="YH32" s="377"/>
      <c r="YI32" s="377"/>
      <c r="YJ32" s="377"/>
      <c r="YK32" s="377"/>
      <c r="YL32" s="377"/>
      <c r="YM32" s="377"/>
      <c r="YN32" s="377"/>
      <c r="YO32" s="377"/>
      <c r="YP32" s="377"/>
      <c r="YQ32" s="377"/>
      <c r="YR32" s="377"/>
      <c r="YS32" s="377"/>
      <c r="YT32" s="377"/>
      <c r="YU32" s="377"/>
      <c r="YV32" s="377"/>
      <c r="YW32" s="377"/>
      <c r="YX32" s="377"/>
      <c r="YY32" s="377"/>
      <c r="YZ32" s="377"/>
      <c r="ZA32" s="377"/>
      <c r="ZB32" s="377"/>
      <c r="ZC32" s="377"/>
      <c r="ZD32" s="377"/>
      <c r="ZE32" s="377"/>
      <c r="ZF32" s="377"/>
      <c r="ZG32" s="377"/>
      <c r="ZH32" s="377"/>
      <c r="ZI32" s="377"/>
      <c r="ZJ32" s="377"/>
      <c r="ZK32" s="377"/>
      <c r="ZL32" s="377"/>
      <c r="ZM32" s="377"/>
      <c r="ZN32" s="377"/>
      <c r="ZO32" s="377"/>
      <c r="ZP32" s="377"/>
      <c r="ZQ32" s="377"/>
      <c r="ZR32" s="377"/>
      <c r="ZS32" s="377"/>
      <c r="ZT32" s="377"/>
      <c r="ZU32" s="377"/>
      <c r="ZV32" s="377"/>
      <c r="ZW32" s="377"/>
      <c r="ZX32" s="377"/>
      <c r="ZY32" s="377"/>
      <c r="ZZ32" s="377"/>
      <c r="AAA32" s="377"/>
      <c r="AAB32" s="377"/>
      <c r="AAC32" s="377"/>
      <c r="AAD32" s="377"/>
      <c r="AAE32" s="377"/>
      <c r="AAF32" s="377"/>
      <c r="AAG32" s="377"/>
      <c r="AAH32" s="377"/>
      <c r="AAI32" s="377"/>
      <c r="AAJ32" s="377"/>
      <c r="AAK32" s="377"/>
      <c r="AAL32" s="377"/>
      <c r="AAM32" s="377"/>
      <c r="AAN32" s="377"/>
      <c r="AAO32" s="377"/>
      <c r="AAP32" s="377"/>
      <c r="AAQ32" s="377"/>
      <c r="AAR32" s="377"/>
      <c r="AAS32" s="377"/>
      <c r="AAT32" s="377"/>
      <c r="AAU32" s="377"/>
      <c r="AAV32" s="377"/>
      <c r="AAW32" s="377"/>
      <c r="AAX32" s="377"/>
      <c r="AAY32" s="377"/>
      <c r="AAZ32" s="377"/>
      <c r="ABA32" s="377"/>
      <c r="ABB32" s="377"/>
      <c r="ABC32" s="377"/>
      <c r="ABD32" s="377"/>
      <c r="ABE32" s="377"/>
      <c r="ABF32" s="377"/>
      <c r="ABG32" s="377"/>
      <c r="ABH32" s="377"/>
      <c r="ABI32" s="377"/>
      <c r="ABJ32" s="377"/>
      <c r="ABK32" s="377"/>
      <c r="ABL32" s="377"/>
      <c r="ABM32" s="377"/>
      <c r="ABN32" s="377"/>
      <c r="ABO32" s="377"/>
      <c r="ABP32" s="377"/>
      <c r="ABQ32" s="377"/>
      <c r="ABR32" s="377"/>
      <c r="ABS32" s="377"/>
      <c r="ABT32" s="377"/>
      <c r="ABU32" s="377"/>
      <c r="ABV32" s="377"/>
      <c r="ABW32" s="377"/>
      <c r="ABX32" s="377"/>
      <c r="ABY32" s="377"/>
      <c r="ABZ32" s="377"/>
      <c r="ACA32" s="377"/>
      <c r="ACB32" s="377"/>
      <c r="ACC32" s="377"/>
      <c r="ACD32" s="377"/>
      <c r="ACE32" s="377"/>
      <c r="ACF32" s="377"/>
      <c r="ACG32" s="377"/>
      <c r="ACH32" s="377"/>
      <c r="ACI32" s="377"/>
      <c r="ACJ32" s="377"/>
      <c r="ACK32" s="377"/>
      <c r="ACL32" s="377"/>
      <c r="ACM32" s="377"/>
      <c r="ACN32" s="377"/>
      <c r="ACO32" s="377"/>
      <c r="ACP32" s="377"/>
      <c r="ACQ32" s="377"/>
      <c r="ACR32" s="377"/>
      <c r="ACS32" s="377"/>
      <c r="ACT32" s="377"/>
      <c r="ACU32" s="377"/>
      <c r="ACV32" s="377"/>
      <c r="ACW32" s="377"/>
      <c r="ACX32" s="377"/>
      <c r="ACY32" s="377"/>
      <c r="ACZ32" s="377"/>
      <c r="ADA32" s="377"/>
      <c r="ADB32" s="377"/>
      <c r="ADC32" s="377"/>
      <c r="ADD32" s="377"/>
      <c r="ADE32" s="377"/>
      <c r="ADF32" s="377"/>
      <c r="ADG32" s="377"/>
      <c r="ADH32" s="377"/>
      <c r="ADI32" s="377"/>
      <c r="ADJ32" s="377"/>
      <c r="ADK32" s="377"/>
      <c r="ADL32" s="377"/>
      <c r="ADM32" s="377"/>
      <c r="ADN32" s="377"/>
      <c r="ADO32" s="377"/>
      <c r="ADP32" s="377"/>
      <c r="ADQ32" s="377"/>
      <c r="ADR32" s="377"/>
      <c r="ADS32" s="377"/>
      <c r="ADT32" s="377"/>
      <c r="ADU32" s="377"/>
      <c r="ADV32" s="377"/>
      <c r="ADW32" s="377"/>
      <c r="ADX32" s="377"/>
      <c r="ADY32" s="377"/>
      <c r="ADZ32" s="377"/>
      <c r="AEA32" s="377"/>
      <c r="AEB32" s="377"/>
      <c r="AEC32" s="377"/>
      <c r="AED32" s="377"/>
      <c r="AEE32" s="377"/>
      <c r="AEF32" s="377"/>
      <c r="AEG32" s="377"/>
      <c r="AEH32" s="377"/>
      <c r="AEI32" s="377"/>
      <c r="AEJ32" s="377"/>
      <c r="AEK32" s="377"/>
      <c r="AEL32" s="377"/>
      <c r="AEM32" s="377"/>
      <c r="AEN32" s="377"/>
      <c r="AEO32" s="377"/>
      <c r="AEP32" s="377"/>
      <c r="AEQ32" s="377"/>
      <c r="AER32" s="377"/>
      <c r="AES32" s="377"/>
      <c r="AET32" s="377"/>
      <c r="AEU32" s="377"/>
      <c r="AEV32" s="377"/>
      <c r="AEW32" s="377"/>
      <c r="AEX32" s="377"/>
      <c r="AEY32" s="377"/>
      <c r="AEZ32" s="377"/>
      <c r="AFA32" s="377"/>
      <c r="AFB32" s="377"/>
      <c r="AFC32" s="377"/>
      <c r="AFD32" s="377"/>
      <c r="AFE32" s="377"/>
      <c r="AFF32" s="377"/>
      <c r="AFG32" s="377"/>
      <c r="AFH32" s="377"/>
      <c r="AFI32" s="377"/>
      <c r="AFJ32" s="377"/>
      <c r="AFK32" s="377"/>
      <c r="AFL32" s="377"/>
      <c r="AFM32" s="377"/>
      <c r="AFN32" s="377"/>
      <c r="AFO32" s="377"/>
      <c r="AFP32" s="377"/>
      <c r="AFQ32" s="377"/>
      <c r="AFR32" s="377"/>
      <c r="AFS32" s="377"/>
      <c r="AFT32" s="377"/>
      <c r="AFU32" s="377"/>
      <c r="AFV32" s="377"/>
      <c r="AFW32" s="377"/>
      <c r="AFX32" s="377"/>
      <c r="AFY32" s="377"/>
      <c r="AFZ32" s="377"/>
      <c r="AGA32" s="377"/>
      <c r="AGB32" s="377"/>
      <c r="AGC32" s="377"/>
    </row>
    <row r="33" spans="1:861" ht="14.25" customHeight="1" x14ac:dyDescent="0.2">
      <c r="A33" s="198">
        <v>9824</v>
      </c>
      <c r="B33" s="183" t="s">
        <v>63</v>
      </c>
      <c r="C33" s="301">
        <v>45824</v>
      </c>
      <c r="D33" s="301" t="s">
        <v>51</v>
      </c>
      <c r="E33" s="301">
        <v>44823</v>
      </c>
      <c r="F33" s="302" t="s">
        <v>51</v>
      </c>
      <c r="G33" s="302" t="s">
        <v>51</v>
      </c>
      <c r="H33" s="301">
        <v>45824</v>
      </c>
      <c r="I33" s="189"/>
      <c r="J33" s="183" t="s">
        <v>389</v>
      </c>
      <c r="K33" s="175" t="s">
        <v>312</v>
      </c>
      <c r="L33" s="175" t="s">
        <v>78</v>
      </c>
      <c r="M33" s="177">
        <f t="shared" si="8"/>
        <v>45029</v>
      </c>
      <c r="N33" s="179">
        <v>2769885505</v>
      </c>
      <c r="O33" s="183"/>
      <c r="P33" s="205" t="s">
        <v>390</v>
      </c>
      <c r="Q33" s="175" t="s">
        <v>325</v>
      </c>
      <c r="R33" s="183" t="s">
        <v>80</v>
      </c>
      <c r="S33" s="175" t="s">
        <v>59</v>
      </c>
      <c r="T33" s="181" t="s">
        <v>170</v>
      </c>
      <c r="U33" s="20"/>
      <c r="V33" s="20" t="s">
        <v>67</v>
      </c>
      <c r="W33" s="20">
        <v>7522</v>
      </c>
      <c r="X33" s="20"/>
      <c r="Y33" s="184">
        <v>100</v>
      </c>
      <c r="Z33" s="184">
        <v>100</v>
      </c>
      <c r="AA33" s="185">
        <v>6.14</v>
      </c>
      <c r="AB33" s="182">
        <f t="shared" si="9"/>
        <v>614</v>
      </c>
      <c r="AC33" s="20"/>
      <c r="AD33" s="283">
        <v>43529</v>
      </c>
      <c r="AE33" s="300">
        <v>45428</v>
      </c>
      <c r="AF33" s="296">
        <v>45825</v>
      </c>
      <c r="AG33" s="296">
        <v>45852</v>
      </c>
      <c r="AH33" s="296">
        <v>45853</v>
      </c>
      <c r="AI33" s="353"/>
      <c r="AJ33" s="121"/>
      <c r="AK33" s="144" t="s">
        <v>62</v>
      </c>
      <c r="AP33" s="321">
        <f t="shared" ref="AP33:AP95" si="11">_xlfn.ISOWEEKNUM(C33)</f>
        <v>25</v>
      </c>
    </row>
    <row r="34" spans="1:861" ht="14.25" customHeight="1" x14ac:dyDescent="0.2">
      <c r="A34" s="200">
        <v>9825</v>
      </c>
      <c r="B34" s="183" t="s">
        <v>63</v>
      </c>
      <c r="C34" s="301">
        <v>45824</v>
      </c>
      <c r="D34" s="301" t="s">
        <v>51</v>
      </c>
      <c r="E34" s="296">
        <v>45443</v>
      </c>
      <c r="F34" s="302" t="s">
        <v>51</v>
      </c>
      <c r="G34" s="302" t="s">
        <v>51</v>
      </c>
      <c r="H34" s="301">
        <v>45824</v>
      </c>
      <c r="I34" s="189"/>
      <c r="J34" s="183" t="s">
        <v>354</v>
      </c>
      <c r="K34" s="175" t="s">
        <v>355</v>
      </c>
      <c r="L34" s="175" t="s">
        <v>78</v>
      </c>
      <c r="M34" s="177">
        <f t="shared" si="8"/>
        <v>45029</v>
      </c>
      <c r="N34" s="179">
        <v>2769885505</v>
      </c>
      <c r="O34" s="183">
        <v>284</v>
      </c>
      <c r="P34" s="187" t="s">
        <v>458</v>
      </c>
      <c r="Q34" s="175" t="s">
        <v>79</v>
      </c>
      <c r="R34" s="183" t="s">
        <v>80</v>
      </c>
      <c r="S34" s="175" t="s">
        <v>59</v>
      </c>
      <c r="T34" s="225" t="s">
        <v>255</v>
      </c>
      <c r="U34" s="20"/>
      <c r="V34" s="20" t="s">
        <v>67</v>
      </c>
      <c r="W34" s="20">
        <v>6700</v>
      </c>
      <c r="X34" s="20"/>
      <c r="Y34" s="184">
        <v>100</v>
      </c>
      <c r="Z34" s="184">
        <v>100</v>
      </c>
      <c r="AA34" s="185">
        <v>7.43</v>
      </c>
      <c r="AB34" s="182">
        <f t="shared" si="9"/>
        <v>743</v>
      </c>
      <c r="AC34" s="20"/>
      <c r="AD34" s="282">
        <v>43529</v>
      </c>
      <c r="AE34" s="300">
        <v>45824</v>
      </c>
      <c r="AF34" s="301">
        <v>45825</v>
      </c>
      <c r="AG34" s="296">
        <v>45856</v>
      </c>
      <c r="AH34" s="296">
        <v>45863</v>
      </c>
      <c r="AI34" s="353"/>
      <c r="AJ34" s="204"/>
      <c r="AK34" s="144" t="s">
        <v>62</v>
      </c>
      <c r="AP34" s="321">
        <f t="shared" si="11"/>
        <v>25</v>
      </c>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c r="CH34" s="248"/>
      <c r="CI34" s="248"/>
      <c r="CJ34" s="248"/>
      <c r="CK34" s="248"/>
      <c r="CL34" s="248"/>
      <c r="CM34" s="248"/>
      <c r="CN34" s="248"/>
      <c r="CO34" s="248"/>
      <c r="CP34" s="248"/>
      <c r="CQ34" s="248"/>
      <c r="CR34" s="248"/>
      <c r="CS34" s="248"/>
      <c r="CT34" s="248"/>
      <c r="CU34" s="248"/>
      <c r="CV34" s="248"/>
      <c r="CW34" s="248"/>
      <c r="CX34" s="248"/>
      <c r="CY34" s="248"/>
      <c r="CZ34" s="248"/>
      <c r="DA34" s="248"/>
      <c r="DB34" s="248"/>
      <c r="DC34" s="248"/>
      <c r="DD34" s="248"/>
      <c r="DE34" s="248"/>
      <c r="DF34" s="248"/>
      <c r="DG34" s="248"/>
      <c r="DH34" s="248"/>
      <c r="DI34" s="248"/>
      <c r="DJ34" s="248"/>
      <c r="DK34" s="248"/>
      <c r="DL34" s="248"/>
      <c r="DM34" s="248"/>
      <c r="DN34" s="248"/>
      <c r="DO34" s="248"/>
      <c r="DP34" s="248"/>
      <c r="DQ34" s="248"/>
      <c r="DR34" s="248"/>
      <c r="DS34" s="248"/>
      <c r="DT34" s="248"/>
      <c r="DU34" s="248"/>
      <c r="DV34" s="248"/>
      <c r="DW34" s="248"/>
      <c r="DX34" s="248"/>
      <c r="DY34" s="248"/>
      <c r="DZ34" s="248"/>
      <c r="EA34" s="248"/>
      <c r="EB34" s="248"/>
      <c r="EC34" s="248"/>
      <c r="ED34" s="248"/>
      <c r="EE34" s="248"/>
      <c r="EF34" s="248"/>
      <c r="EG34" s="248"/>
      <c r="EH34" s="248"/>
      <c r="EI34" s="248"/>
      <c r="EJ34" s="248"/>
      <c r="EK34" s="248"/>
      <c r="EL34" s="248"/>
      <c r="EM34" s="248"/>
      <c r="EN34" s="248"/>
      <c r="EO34" s="248"/>
      <c r="EP34" s="248"/>
      <c r="EQ34" s="248"/>
      <c r="ER34" s="248"/>
      <c r="ES34" s="248"/>
      <c r="ET34" s="248"/>
      <c r="EU34" s="248"/>
      <c r="EV34" s="248"/>
      <c r="EW34" s="248"/>
      <c r="EX34" s="248"/>
      <c r="EY34" s="248"/>
      <c r="EZ34" s="248"/>
      <c r="FA34" s="248"/>
      <c r="FB34" s="248"/>
      <c r="FC34" s="248"/>
      <c r="FD34" s="248"/>
      <c r="FE34" s="248"/>
      <c r="FF34" s="248"/>
      <c r="FG34" s="248"/>
      <c r="FH34" s="248"/>
      <c r="FI34" s="248"/>
      <c r="FJ34" s="248"/>
      <c r="FK34" s="248"/>
      <c r="FL34" s="248"/>
      <c r="FM34" s="248"/>
      <c r="FN34" s="248"/>
      <c r="FO34" s="248"/>
      <c r="FP34" s="248"/>
      <c r="FQ34" s="248"/>
      <c r="FR34" s="248"/>
      <c r="FS34" s="248"/>
      <c r="FT34" s="248"/>
      <c r="FU34" s="248"/>
      <c r="FV34" s="248"/>
      <c r="FW34" s="248"/>
      <c r="FX34" s="248"/>
      <c r="FY34" s="248"/>
      <c r="FZ34" s="248"/>
      <c r="GA34" s="248"/>
      <c r="GB34" s="248"/>
      <c r="GC34" s="248"/>
      <c r="GD34" s="248"/>
      <c r="GE34" s="248"/>
      <c r="GF34" s="248"/>
      <c r="GG34" s="248"/>
      <c r="GH34" s="248"/>
      <c r="GI34" s="248"/>
      <c r="GJ34" s="248"/>
      <c r="GK34" s="248"/>
      <c r="GL34" s="248"/>
      <c r="GM34" s="248"/>
      <c r="GN34" s="248"/>
      <c r="GO34" s="248"/>
      <c r="GP34" s="248"/>
      <c r="GQ34" s="248"/>
      <c r="GR34" s="248"/>
      <c r="GS34" s="248"/>
      <c r="GT34" s="248"/>
      <c r="GU34" s="248"/>
      <c r="GV34" s="248"/>
      <c r="GW34" s="248"/>
      <c r="GX34" s="248"/>
      <c r="GY34" s="248"/>
      <c r="GZ34" s="248"/>
      <c r="HA34" s="248"/>
      <c r="HB34" s="248"/>
      <c r="HC34" s="248"/>
      <c r="HD34" s="248"/>
      <c r="HE34" s="248"/>
      <c r="HF34" s="248"/>
      <c r="HG34" s="248"/>
      <c r="HH34" s="248"/>
      <c r="HI34" s="248"/>
      <c r="HJ34" s="248"/>
      <c r="HK34" s="248"/>
      <c r="HL34" s="248"/>
      <c r="HM34" s="248"/>
      <c r="HN34" s="248"/>
      <c r="HO34" s="248"/>
      <c r="HP34" s="248"/>
      <c r="HQ34" s="248"/>
      <c r="HR34" s="248"/>
      <c r="HS34" s="248"/>
      <c r="HT34" s="248"/>
      <c r="HU34" s="248"/>
      <c r="HV34" s="248"/>
      <c r="HW34" s="248"/>
      <c r="HX34" s="248"/>
      <c r="HY34" s="248"/>
      <c r="HZ34" s="248"/>
      <c r="IA34" s="248"/>
      <c r="IB34" s="248"/>
      <c r="IC34" s="248"/>
      <c r="ID34" s="248"/>
      <c r="IE34" s="248"/>
      <c r="IF34" s="248"/>
      <c r="IG34" s="248"/>
      <c r="IH34" s="248"/>
      <c r="II34" s="248"/>
      <c r="IJ34" s="248"/>
      <c r="IK34" s="248"/>
      <c r="IL34" s="248"/>
      <c r="IM34" s="248"/>
      <c r="IN34" s="248"/>
      <c r="IO34" s="248"/>
      <c r="IP34" s="248"/>
      <c r="IQ34" s="248"/>
      <c r="IR34" s="248"/>
      <c r="IS34" s="248"/>
      <c r="IT34" s="248"/>
      <c r="IU34" s="248"/>
      <c r="IV34" s="248"/>
      <c r="IW34" s="248"/>
      <c r="IX34" s="248"/>
      <c r="IY34" s="248"/>
      <c r="IZ34" s="248"/>
      <c r="JA34" s="248"/>
      <c r="JB34" s="248"/>
      <c r="JC34" s="248"/>
      <c r="JD34" s="248"/>
      <c r="JE34" s="248"/>
      <c r="JF34" s="248"/>
      <c r="JG34" s="248"/>
      <c r="JH34" s="248"/>
      <c r="JI34" s="248"/>
      <c r="JJ34" s="248"/>
      <c r="JK34" s="248"/>
      <c r="JL34" s="248"/>
      <c r="JM34" s="248"/>
      <c r="JN34" s="248"/>
      <c r="JO34" s="248"/>
      <c r="JP34" s="248"/>
      <c r="JQ34" s="248"/>
      <c r="JR34" s="248"/>
      <c r="JS34" s="248"/>
      <c r="JT34" s="248"/>
      <c r="JU34" s="248"/>
      <c r="JV34" s="248"/>
      <c r="JW34" s="248"/>
      <c r="JX34" s="248"/>
      <c r="JY34" s="248"/>
      <c r="JZ34" s="248"/>
      <c r="KA34" s="248"/>
      <c r="KB34" s="248"/>
      <c r="KC34" s="248"/>
      <c r="KD34" s="248"/>
      <c r="KE34" s="248"/>
      <c r="KF34" s="248"/>
      <c r="KG34" s="248"/>
      <c r="KH34" s="248"/>
      <c r="KI34" s="248"/>
      <c r="KJ34" s="248"/>
      <c r="KK34" s="248"/>
      <c r="KL34" s="248"/>
      <c r="KM34" s="248"/>
      <c r="KN34" s="248"/>
      <c r="KO34" s="248"/>
      <c r="KP34" s="248"/>
      <c r="KQ34" s="248"/>
      <c r="KR34" s="248"/>
      <c r="KS34" s="248"/>
      <c r="KT34" s="248"/>
      <c r="KU34" s="248"/>
      <c r="KV34" s="248"/>
      <c r="KW34" s="248"/>
      <c r="KX34" s="248"/>
      <c r="KY34" s="248"/>
      <c r="KZ34" s="248"/>
      <c r="LA34" s="248"/>
      <c r="LB34" s="248"/>
      <c r="LC34" s="248"/>
      <c r="LD34" s="248"/>
      <c r="LE34" s="248"/>
      <c r="LF34" s="248"/>
      <c r="LG34" s="248"/>
      <c r="LH34" s="248"/>
      <c r="LI34" s="248"/>
      <c r="LJ34" s="248"/>
      <c r="LK34" s="248"/>
      <c r="LL34" s="248"/>
      <c r="LM34" s="248"/>
      <c r="LN34" s="248"/>
      <c r="LO34" s="248"/>
      <c r="LP34" s="248"/>
      <c r="LQ34" s="248"/>
      <c r="LR34" s="248"/>
      <c r="LS34" s="248"/>
      <c r="LT34" s="248"/>
      <c r="LU34" s="248"/>
      <c r="LV34" s="248"/>
      <c r="LW34" s="248"/>
      <c r="LX34" s="248"/>
      <c r="LY34" s="248"/>
      <c r="LZ34" s="248"/>
      <c r="MA34" s="248"/>
      <c r="MB34" s="248"/>
      <c r="MC34" s="248"/>
      <c r="MD34" s="248"/>
      <c r="ME34" s="248"/>
      <c r="MF34" s="248"/>
      <c r="MG34" s="248"/>
      <c r="MH34" s="248"/>
      <c r="MI34" s="248"/>
      <c r="MJ34" s="248"/>
      <c r="MK34" s="248"/>
      <c r="ML34" s="248"/>
      <c r="MM34" s="248"/>
      <c r="MN34" s="248"/>
      <c r="MO34" s="248"/>
      <c r="MP34" s="248"/>
      <c r="MQ34" s="248"/>
      <c r="MR34" s="248"/>
      <c r="MS34" s="248"/>
      <c r="MT34" s="248"/>
      <c r="MU34" s="248"/>
      <c r="MV34" s="248"/>
      <c r="MW34" s="248"/>
      <c r="MX34" s="248"/>
      <c r="MY34" s="248"/>
      <c r="MZ34" s="248"/>
      <c r="NA34" s="248"/>
      <c r="NB34" s="248"/>
      <c r="NC34" s="248"/>
      <c r="ND34" s="248"/>
      <c r="NE34" s="248"/>
      <c r="NF34" s="248"/>
      <c r="NG34" s="248"/>
      <c r="NH34" s="248"/>
      <c r="NI34" s="248"/>
      <c r="NJ34" s="248"/>
      <c r="NK34" s="248"/>
      <c r="NL34" s="248"/>
      <c r="NM34" s="248"/>
      <c r="NN34" s="248"/>
      <c r="NO34" s="248"/>
      <c r="NP34" s="248"/>
      <c r="NQ34" s="248"/>
      <c r="NR34" s="248"/>
      <c r="NS34" s="248"/>
      <c r="NT34" s="248"/>
      <c r="NU34" s="248"/>
      <c r="NV34" s="248"/>
      <c r="NW34" s="248"/>
      <c r="NX34" s="248"/>
      <c r="NY34" s="248"/>
      <c r="NZ34" s="248"/>
      <c r="OA34" s="248"/>
      <c r="OB34" s="248"/>
      <c r="OC34" s="248"/>
      <c r="OD34" s="248"/>
      <c r="OE34" s="248"/>
      <c r="OF34" s="248"/>
      <c r="OG34" s="248"/>
      <c r="OH34" s="248"/>
      <c r="OI34" s="248"/>
      <c r="OJ34" s="248"/>
      <c r="OK34" s="248"/>
      <c r="OL34" s="248"/>
      <c r="OM34" s="248"/>
      <c r="ON34" s="248"/>
      <c r="OO34" s="248"/>
      <c r="OP34" s="248"/>
      <c r="OQ34" s="248"/>
      <c r="OR34" s="248"/>
      <c r="OS34" s="248"/>
      <c r="OT34" s="248"/>
      <c r="OU34" s="248"/>
      <c r="OV34" s="248"/>
      <c r="OW34" s="248"/>
      <c r="OX34" s="248"/>
      <c r="OY34" s="248"/>
      <c r="OZ34" s="248"/>
      <c r="PA34" s="248"/>
      <c r="PB34" s="248"/>
      <c r="PC34" s="248"/>
      <c r="PD34" s="248"/>
      <c r="PE34" s="248"/>
      <c r="PF34" s="248"/>
      <c r="PG34" s="248"/>
      <c r="PH34" s="248"/>
      <c r="PI34" s="248"/>
      <c r="PJ34" s="248"/>
      <c r="PK34" s="248"/>
      <c r="PL34" s="248"/>
      <c r="PM34" s="248"/>
      <c r="PN34" s="248"/>
      <c r="PO34" s="248"/>
      <c r="PP34" s="248"/>
      <c r="PQ34" s="248"/>
      <c r="PR34" s="248"/>
      <c r="PS34" s="248"/>
      <c r="PT34" s="248"/>
      <c r="PU34" s="248"/>
      <c r="PV34" s="248"/>
      <c r="PW34" s="248"/>
      <c r="PX34" s="248"/>
      <c r="PY34" s="248"/>
      <c r="PZ34" s="248"/>
      <c r="QA34" s="248"/>
      <c r="QB34" s="248"/>
      <c r="QC34" s="248"/>
      <c r="QD34" s="248"/>
      <c r="QE34" s="248"/>
      <c r="QF34" s="248"/>
      <c r="QG34" s="248"/>
      <c r="QH34" s="248"/>
      <c r="QI34" s="248"/>
      <c r="QJ34" s="248"/>
      <c r="QK34" s="248"/>
      <c r="QL34" s="248"/>
      <c r="QM34" s="248"/>
      <c r="QN34" s="248"/>
      <c r="QO34" s="248"/>
      <c r="QP34" s="248"/>
      <c r="QQ34" s="248"/>
      <c r="QR34" s="248"/>
      <c r="QS34" s="248"/>
      <c r="QT34" s="248"/>
      <c r="QU34" s="248"/>
      <c r="QV34" s="248"/>
      <c r="QW34" s="248"/>
      <c r="QX34" s="248"/>
      <c r="QY34" s="248"/>
      <c r="QZ34" s="248"/>
      <c r="RA34" s="248"/>
      <c r="RB34" s="248"/>
      <c r="RC34" s="248"/>
      <c r="RD34" s="248"/>
      <c r="RE34" s="248"/>
      <c r="RF34" s="248"/>
      <c r="RG34" s="248"/>
      <c r="RH34" s="248"/>
      <c r="RI34" s="248"/>
      <c r="RJ34" s="248"/>
      <c r="RK34" s="248"/>
      <c r="RL34" s="248"/>
      <c r="RM34" s="248"/>
      <c r="RN34" s="248"/>
      <c r="RO34" s="248"/>
      <c r="RP34" s="248"/>
      <c r="RQ34" s="248"/>
      <c r="RR34" s="248"/>
      <c r="RS34" s="248"/>
      <c r="RT34" s="248"/>
      <c r="RU34" s="248"/>
      <c r="RV34" s="248"/>
      <c r="RW34" s="248"/>
      <c r="RX34" s="248"/>
      <c r="RY34" s="248"/>
      <c r="RZ34" s="248"/>
      <c r="SA34" s="248"/>
      <c r="SB34" s="248"/>
      <c r="SC34" s="248"/>
      <c r="SD34" s="248"/>
      <c r="SE34" s="248"/>
      <c r="SF34" s="248"/>
      <c r="SG34" s="248"/>
      <c r="SH34" s="248"/>
      <c r="SI34" s="248"/>
      <c r="SJ34" s="248"/>
      <c r="SK34" s="248"/>
      <c r="SL34" s="248"/>
      <c r="SM34" s="248"/>
      <c r="SN34" s="248"/>
      <c r="SO34" s="248"/>
      <c r="SP34" s="248"/>
      <c r="SQ34" s="248"/>
      <c r="SR34" s="248"/>
      <c r="SS34" s="248"/>
      <c r="ST34" s="248"/>
      <c r="SU34" s="248"/>
      <c r="SV34" s="248"/>
      <c r="SW34" s="248"/>
      <c r="SX34" s="248"/>
      <c r="SY34" s="248"/>
      <c r="SZ34" s="248"/>
      <c r="TA34" s="248"/>
      <c r="TB34" s="248"/>
      <c r="TC34" s="248"/>
      <c r="TD34" s="248"/>
      <c r="TE34" s="248"/>
      <c r="TF34" s="248"/>
      <c r="TG34" s="248"/>
      <c r="TH34" s="248"/>
      <c r="TI34" s="248"/>
      <c r="TJ34" s="248"/>
      <c r="TK34" s="248"/>
      <c r="TL34" s="248"/>
      <c r="TM34" s="248"/>
      <c r="TN34" s="248"/>
      <c r="TO34" s="248"/>
      <c r="TP34" s="248"/>
      <c r="TQ34" s="248"/>
      <c r="TR34" s="248"/>
      <c r="TS34" s="248"/>
      <c r="TT34" s="248"/>
      <c r="TU34" s="248"/>
      <c r="TV34" s="248"/>
      <c r="TW34" s="248"/>
      <c r="TX34" s="248"/>
      <c r="TY34" s="248"/>
      <c r="TZ34" s="248"/>
      <c r="UA34" s="248"/>
      <c r="UB34" s="248"/>
      <c r="UC34" s="248"/>
      <c r="UD34" s="248"/>
      <c r="UE34" s="248"/>
      <c r="UF34" s="248"/>
      <c r="UG34" s="248"/>
      <c r="UH34" s="248"/>
      <c r="UI34" s="248"/>
      <c r="UJ34" s="248"/>
      <c r="UK34" s="248"/>
      <c r="UL34" s="248"/>
      <c r="UM34" s="248"/>
      <c r="UN34" s="248"/>
      <c r="UO34" s="248"/>
      <c r="UP34" s="248"/>
      <c r="UQ34" s="248"/>
      <c r="UR34" s="248"/>
      <c r="US34" s="248"/>
      <c r="UT34" s="248"/>
      <c r="UU34" s="248"/>
      <c r="UV34" s="248"/>
      <c r="UW34" s="248"/>
      <c r="UX34" s="248"/>
      <c r="UY34" s="248"/>
      <c r="UZ34" s="248"/>
      <c r="VA34" s="248"/>
      <c r="VB34" s="248"/>
      <c r="VC34" s="248"/>
      <c r="VD34" s="248"/>
      <c r="VE34" s="248"/>
      <c r="VF34" s="248"/>
      <c r="VG34" s="248"/>
      <c r="VH34" s="248"/>
      <c r="VI34" s="248"/>
      <c r="VJ34" s="248"/>
      <c r="VK34" s="248"/>
      <c r="VL34" s="248"/>
      <c r="VM34" s="248"/>
      <c r="VN34" s="248"/>
      <c r="VO34" s="248"/>
      <c r="VP34" s="248"/>
      <c r="VQ34" s="248"/>
      <c r="VR34" s="248"/>
      <c r="VS34" s="248"/>
      <c r="VT34" s="248"/>
      <c r="VU34" s="248"/>
      <c r="VV34" s="248"/>
      <c r="VW34" s="248"/>
      <c r="VX34" s="248"/>
      <c r="VY34" s="248"/>
      <c r="VZ34" s="248"/>
      <c r="WA34" s="248"/>
      <c r="WB34" s="248"/>
      <c r="WC34" s="248"/>
      <c r="WD34" s="248"/>
      <c r="WE34" s="248"/>
      <c r="WF34" s="248"/>
      <c r="WG34" s="248"/>
      <c r="WH34" s="248"/>
      <c r="WI34" s="248"/>
      <c r="WJ34" s="248"/>
      <c r="WK34" s="248"/>
      <c r="WL34" s="248"/>
      <c r="WM34" s="248"/>
      <c r="WN34" s="248"/>
      <c r="WO34" s="248"/>
      <c r="WP34" s="248"/>
      <c r="WQ34" s="248"/>
      <c r="WR34" s="248"/>
      <c r="WS34" s="248"/>
      <c r="WT34" s="248"/>
      <c r="WU34" s="248"/>
      <c r="WV34" s="248"/>
      <c r="WW34" s="248"/>
      <c r="WX34" s="248"/>
      <c r="WY34" s="248"/>
      <c r="WZ34" s="248"/>
      <c r="XA34" s="248"/>
      <c r="XB34" s="248"/>
      <c r="XC34" s="248"/>
      <c r="XD34" s="248"/>
      <c r="XE34" s="248"/>
      <c r="XF34" s="248"/>
      <c r="XG34" s="248"/>
      <c r="XH34" s="248"/>
      <c r="XI34" s="248"/>
      <c r="XJ34" s="248"/>
      <c r="XK34" s="248"/>
      <c r="XL34" s="248"/>
      <c r="XM34" s="248"/>
      <c r="XN34" s="248"/>
      <c r="XO34" s="248"/>
      <c r="XP34" s="248"/>
      <c r="XQ34" s="248"/>
      <c r="XR34" s="248"/>
      <c r="XS34" s="248"/>
      <c r="XT34" s="248"/>
      <c r="XU34" s="248"/>
      <c r="XV34" s="248"/>
      <c r="XW34" s="248"/>
      <c r="XX34" s="248"/>
      <c r="XY34" s="248"/>
      <c r="XZ34" s="248"/>
      <c r="YA34" s="248"/>
      <c r="YB34" s="248"/>
      <c r="YC34" s="248"/>
      <c r="YD34" s="248"/>
      <c r="YE34" s="248"/>
      <c r="YF34" s="248"/>
      <c r="YG34" s="248"/>
      <c r="YH34" s="248"/>
      <c r="YI34" s="248"/>
      <c r="YJ34" s="248"/>
      <c r="YK34" s="248"/>
      <c r="YL34" s="248"/>
      <c r="YM34" s="248"/>
      <c r="YN34" s="248"/>
      <c r="YO34" s="248"/>
      <c r="YP34" s="248"/>
      <c r="YQ34" s="248"/>
      <c r="YR34" s="248"/>
      <c r="YS34" s="248"/>
      <c r="YT34" s="248"/>
      <c r="YU34" s="248"/>
      <c r="YV34" s="248"/>
      <c r="YW34" s="248"/>
      <c r="YX34" s="248"/>
      <c r="YY34" s="248"/>
      <c r="YZ34" s="248"/>
      <c r="ZA34" s="248"/>
      <c r="ZB34" s="248"/>
      <c r="ZC34" s="248"/>
      <c r="ZD34" s="248"/>
      <c r="ZE34" s="248"/>
      <c r="ZF34" s="248"/>
      <c r="ZG34" s="248"/>
      <c r="ZH34" s="248"/>
      <c r="ZI34" s="248"/>
      <c r="ZJ34" s="248"/>
      <c r="ZK34" s="248"/>
      <c r="ZL34" s="248"/>
      <c r="ZM34" s="248"/>
      <c r="ZN34" s="248"/>
      <c r="ZO34" s="248"/>
      <c r="ZP34" s="248"/>
      <c r="ZQ34" s="248"/>
      <c r="ZR34" s="248"/>
      <c r="ZS34" s="248"/>
      <c r="ZT34" s="248"/>
      <c r="ZU34" s="248"/>
      <c r="ZV34" s="248"/>
      <c r="ZW34" s="248"/>
      <c r="ZX34" s="248"/>
      <c r="ZY34" s="248"/>
      <c r="ZZ34" s="248"/>
      <c r="AAA34" s="248"/>
      <c r="AAB34" s="248"/>
      <c r="AAC34" s="248"/>
      <c r="AAD34" s="248"/>
      <c r="AAE34" s="248"/>
      <c r="AAF34" s="248"/>
      <c r="AAG34" s="248"/>
      <c r="AAH34" s="248"/>
      <c r="AAI34" s="248"/>
      <c r="AAJ34" s="248"/>
      <c r="AAK34" s="248"/>
      <c r="AAL34" s="248"/>
      <c r="AAM34" s="248"/>
      <c r="AAN34" s="248"/>
      <c r="AAO34" s="248"/>
      <c r="AAP34" s="248"/>
      <c r="AAQ34" s="248"/>
      <c r="AAR34" s="248"/>
      <c r="AAS34" s="248"/>
      <c r="AAT34" s="248"/>
      <c r="AAU34" s="248"/>
      <c r="AAV34" s="248"/>
      <c r="AAW34" s="248"/>
      <c r="AAX34" s="248"/>
      <c r="AAY34" s="248"/>
      <c r="AAZ34" s="248"/>
      <c r="ABA34" s="248"/>
      <c r="ABB34" s="248"/>
      <c r="ABC34" s="248"/>
      <c r="ABD34" s="248"/>
      <c r="ABE34" s="248"/>
      <c r="ABF34" s="248"/>
      <c r="ABG34" s="248"/>
      <c r="ABH34" s="248"/>
      <c r="ABI34" s="248"/>
      <c r="ABJ34" s="248"/>
      <c r="ABK34" s="248"/>
      <c r="ABL34" s="248"/>
      <c r="ABM34" s="248"/>
      <c r="ABN34" s="248"/>
      <c r="ABO34" s="248"/>
      <c r="ABP34" s="248"/>
      <c r="ABQ34" s="248"/>
      <c r="ABR34" s="248"/>
      <c r="ABS34" s="248"/>
      <c r="ABT34" s="248"/>
      <c r="ABU34" s="248"/>
      <c r="ABV34" s="248"/>
      <c r="ABW34" s="248"/>
      <c r="ABX34" s="248"/>
      <c r="ABY34" s="248"/>
      <c r="ABZ34" s="248"/>
      <c r="ACA34" s="248"/>
      <c r="ACB34" s="248"/>
      <c r="ACC34" s="248"/>
      <c r="ACD34" s="248"/>
      <c r="ACE34" s="248"/>
      <c r="ACF34" s="248"/>
      <c r="ACG34" s="248"/>
      <c r="ACH34" s="248"/>
      <c r="ACI34" s="248"/>
      <c r="ACJ34" s="248"/>
      <c r="ACK34" s="248"/>
      <c r="ACL34" s="248"/>
      <c r="ACM34" s="248"/>
      <c r="ACN34" s="248"/>
      <c r="ACO34" s="248"/>
      <c r="ACP34" s="248"/>
      <c r="ACQ34" s="248"/>
      <c r="ACR34" s="248"/>
      <c r="ACS34" s="248"/>
      <c r="ACT34" s="248"/>
      <c r="ACU34" s="248"/>
      <c r="ACV34" s="248"/>
      <c r="ACW34" s="248"/>
      <c r="ACX34" s="248"/>
      <c r="ACY34" s="248"/>
      <c r="ACZ34" s="248"/>
      <c r="ADA34" s="248"/>
      <c r="ADB34" s="248"/>
      <c r="ADC34" s="248"/>
      <c r="ADD34" s="248"/>
      <c r="ADE34" s="248"/>
      <c r="ADF34" s="248"/>
      <c r="ADG34" s="248"/>
      <c r="ADH34" s="248"/>
      <c r="ADI34" s="248"/>
      <c r="ADJ34" s="248"/>
      <c r="ADK34" s="248"/>
      <c r="ADL34" s="248"/>
      <c r="ADM34" s="248"/>
      <c r="ADN34" s="248"/>
      <c r="ADO34" s="248"/>
      <c r="ADP34" s="248"/>
      <c r="ADQ34" s="248"/>
      <c r="ADR34" s="248"/>
      <c r="ADS34" s="248"/>
      <c r="ADT34" s="248"/>
      <c r="ADU34" s="248"/>
      <c r="ADV34" s="248"/>
      <c r="ADW34" s="248"/>
      <c r="ADX34" s="248"/>
      <c r="ADY34" s="248"/>
      <c r="ADZ34" s="248"/>
      <c r="AEA34" s="248"/>
      <c r="AEB34" s="248"/>
      <c r="AEC34" s="248"/>
      <c r="AED34" s="248"/>
      <c r="AEE34" s="248"/>
      <c r="AEF34" s="248"/>
      <c r="AEG34" s="248"/>
      <c r="AEH34" s="248"/>
      <c r="AEI34" s="248"/>
      <c r="AEJ34" s="248"/>
      <c r="AEK34" s="248"/>
      <c r="AEL34" s="248"/>
      <c r="AEM34" s="248"/>
      <c r="AEN34" s="248"/>
      <c r="AEO34" s="248"/>
      <c r="AEP34" s="248"/>
      <c r="AEQ34" s="248"/>
      <c r="AER34" s="248"/>
      <c r="AES34" s="248"/>
      <c r="AET34" s="248"/>
      <c r="AEU34" s="248"/>
      <c r="AEV34" s="248"/>
      <c r="AEW34" s="248"/>
      <c r="AEX34" s="248"/>
      <c r="AEY34" s="248"/>
      <c r="AEZ34" s="248"/>
      <c r="AFA34" s="248"/>
      <c r="AFB34" s="248"/>
      <c r="AFC34" s="248"/>
      <c r="AFD34" s="248"/>
      <c r="AFE34" s="248"/>
      <c r="AFF34" s="248"/>
      <c r="AFG34" s="248"/>
      <c r="AFH34" s="248"/>
      <c r="AFI34" s="248"/>
      <c r="AFJ34" s="248"/>
      <c r="AFK34" s="248"/>
      <c r="AFL34" s="248"/>
      <c r="AFM34" s="248"/>
      <c r="AFN34" s="248"/>
      <c r="AFO34" s="248"/>
      <c r="AFP34" s="248"/>
      <c r="AFQ34" s="248"/>
      <c r="AFR34" s="248"/>
      <c r="AFS34" s="248"/>
      <c r="AFT34" s="248"/>
      <c r="AFU34" s="248"/>
      <c r="AFV34" s="248"/>
      <c r="AFW34" s="248"/>
      <c r="AFX34" s="248"/>
      <c r="AFY34" s="248"/>
      <c r="AFZ34" s="248"/>
      <c r="AGA34" s="248"/>
      <c r="AGB34" s="248"/>
      <c r="AGC34" s="253"/>
    </row>
    <row r="35" spans="1:861" ht="14.25" customHeight="1" x14ac:dyDescent="0.25">
      <c r="A35" s="199">
        <v>9826</v>
      </c>
      <c r="B35" s="167" t="s">
        <v>63</v>
      </c>
      <c r="C35" s="304">
        <v>45825</v>
      </c>
      <c r="D35" s="359">
        <v>45737</v>
      </c>
      <c r="E35" s="306" t="s">
        <v>51</v>
      </c>
      <c r="F35" s="344">
        <v>45737</v>
      </c>
      <c r="G35" s="316">
        <v>45737</v>
      </c>
      <c r="H35" s="304">
        <v>45825</v>
      </c>
      <c r="J35" s="152" t="s">
        <v>489</v>
      </c>
      <c r="K35" s="144" t="s">
        <v>490</v>
      </c>
      <c r="L35" s="144" t="s">
        <v>485</v>
      </c>
      <c r="M35" s="207">
        <f t="shared" si="8"/>
        <v>45747</v>
      </c>
      <c r="N35" s="208" t="s">
        <v>491</v>
      </c>
      <c r="P35" s="21" t="s">
        <v>492</v>
      </c>
      <c r="Q35" s="144" t="s">
        <v>71</v>
      </c>
      <c r="R35" s="152" t="s">
        <v>58</v>
      </c>
      <c r="S35" s="193" t="s">
        <v>275</v>
      </c>
      <c r="T35" s="206" t="s">
        <v>496</v>
      </c>
      <c r="V35" s="152" t="s">
        <v>67</v>
      </c>
      <c r="W35" s="152" t="s">
        <v>497</v>
      </c>
      <c r="Y35" s="209">
        <v>100</v>
      </c>
      <c r="Z35" s="218" t="s">
        <v>410</v>
      </c>
      <c r="AA35" s="210">
        <v>15.58</v>
      </c>
      <c r="AB35" s="168">
        <f t="shared" si="9"/>
        <v>1558</v>
      </c>
      <c r="AC35" s="144"/>
      <c r="AD35" s="284">
        <v>4500337363</v>
      </c>
      <c r="AE35" s="304">
        <v>45825</v>
      </c>
      <c r="AF35" s="304">
        <v>45825</v>
      </c>
      <c r="AG35" s="304">
        <v>45866</v>
      </c>
      <c r="AH35" s="304">
        <v>45867</v>
      </c>
      <c r="AK35" s="144" t="s">
        <v>483</v>
      </c>
      <c r="AP35" s="321">
        <f t="shared" si="11"/>
        <v>25</v>
      </c>
    </row>
    <row r="36" spans="1:861" ht="14.25" customHeight="1" x14ac:dyDescent="0.25">
      <c r="A36" s="198">
        <v>9827</v>
      </c>
      <c r="B36" s="183" t="s">
        <v>5</v>
      </c>
      <c r="C36" s="300">
        <v>45749</v>
      </c>
      <c r="D36" s="300" t="s">
        <v>51</v>
      </c>
      <c r="E36" s="300">
        <v>45454</v>
      </c>
      <c r="F36" s="300" t="s">
        <v>51</v>
      </c>
      <c r="G36" s="300" t="s">
        <v>51</v>
      </c>
      <c r="H36" s="300">
        <v>45749</v>
      </c>
      <c r="I36" s="191"/>
      <c r="J36" s="20" t="s">
        <v>331</v>
      </c>
      <c r="K36" s="193" t="s">
        <v>444</v>
      </c>
      <c r="L36" s="193" t="s">
        <v>146</v>
      </c>
      <c r="M36" s="194">
        <v>45048</v>
      </c>
      <c r="N36" s="195">
        <v>9105141616</v>
      </c>
      <c r="O36" s="20"/>
      <c r="P36" s="19" t="s">
        <v>445</v>
      </c>
      <c r="Q36" s="193" t="s">
        <v>147</v>
      </c>
      <c r="R36" s="20" t="s">
        <v>58</v>
      </c>
      <c r="S36" s="193" t="s">
        <v>72</v>
      </c>
      <c r="T36" s="181">
        <v>50011203</v>
      </c>
      <c r="U36" s="20" t="s">
        <v>327</v>
      </c>
      <c r="V36" s="20" t="s">
        <v>61</v>
      </c>
      <c r="W36" s="20">
        <v>8659</v>
      </c>
      <c r="X36" s="20"/>
      <c r="Y36" s="184">
        <v>50</v>
      </c>
      <c r="Z36" s="184" t="s">
        <v>446</v>
      </c>
      <c r="AA36" s="192">
        <v>36.9</v>
      </c>
      <c r="AB36" s="182">
        <f t="shared" si="9"/>
        <v>1845</v>
      </c>
      <c r="AC36" s="20"/>
      <c r="AD36" s="347">
        <v>88470</v>
      </c>
      <c r="AE36" s="300">
        <v>45748</v>
      </c>
      <c r="AF36" s="300">
        <v>45749</v>
      </c>
      <c r="AG36" s="300">
        <v>45785</v>
      </c>
      <c r="AH36" s="300">
        <v>45786</v>
      </c>
      <c r="AI36" s="220" t="s">
        <v>500</v>
      </c>
      <c r="AJ36" s="181"/>
      <c r="AK36" s="144" t="s">
        <v>62</v>
      </c>
      <c r="AL36" s="252"/>
      <c r="AM36" s="293"/>
      <c r="AN36" s="293"/>
      <c r="AO36" s="324"/>
      <c r="AP36" s="321">
        <f t="shared" si="11"/>
        <v>14</v>
      </c>
      <c r="AQ36" s="249"/>
      <c r="AR36" s="249"/>
      <c r="AS36" s="249"/>
      <c r="AT36" s="249"/>
      <c r="AU36" s="249"/>
      <c r="AV36" s="249"/>
      <c r="AW36" s="249"/>
      <c r="AX36" s="249"/>
      <c r="AY36" s="249"/>
      <c r="AZ36" s="249"/>
      <c r="BA36" s="249"/>
      <c r="BB36" s="249"/>
      <c r="BC36" s="249"/>
      <c r="BD36" s="249"/>
      <c r="BE36" s="249"/>
      <c r="BF36" s="249"/>
      <c r="BG36" s="249"/>
      <c r="BH36" s="249"/>
      <c r="BI36" s="249"/>
      <c r="BJ36" s="249"/>
      <c r="BK36" s="249"/>
      <c r="BL36" s="249"/>
      <c r="BM36" s="249"/>
      <c r="BN36" s="249"/>
      <c r="BO36" s="249"/>
      <c r="BP36" s="249"/>
      <c r="BQ36" s="249"/>
      <c r="BR36" s="249"/>
      <c r="BS36" s="249"/>
      <c r="BT36" s="249"/>
      <c r="BU36" s="249"/>
      <c r="BV36" s="249"/>
      <c r="BW36" s="249"/>
      <c r="BX36" s="249"/>
      <c r="BY36" s="249"/>
      <c r="BZ36" s="249"/>
      <c r="CA36" s="249"/>
      <c r="CB36" s="249"/>
      <c r="CC36" s="249"/>
      <c r="CD36" s="249"/>
      <c r="CE36" s="249"/>
      <c r="CF36" s="249"/>
      <c r="CG36" s="249"/>
      <c r="CH36" s="249"/>
      <c r="CI36" s="249"/>
      <c r="CJ36" s="249"/>
      <c r="CK36" s="249"/>
      <c r="CL36" s="249"/>
      <c r="CM36" s="249"/>
      <c r="CN36" s="249"/>
      <c r="CO36" s="249"/>
      <c r="CP36" s="249"/>
      <c r="CQ36" s="249"/>
      <c r="CR36" s="249"/>
      <c r="CS36" s="249"/>
      <c r="CT36" s="249"/>
      <c r="CU36" s="249"/>
      <c r="CV36" s="249"/>
      <c r="CW36" s="249"/>
      <c r="CX36" s="249"/>
      <c r="CY36" s="249"/>
      <c r="CZ36" s="249"/>
      <c r="DA36" s="249"/>
      <c r="DB36" s="249"/>
      <c r="DC36" s="249"/>
      <c r="DD36" s="249"/>
      <c r="DE36" s="249"/>
      <c r="DF36" s="249"/>
      <c r="DG36" s="249"/>
      <c r="DH36" s="249"/>
      <c r="DI36" s="249"/>
      <c r="DJ36" s="249"/>
      <c r="DK36" s="249"/>
      <c r="DL36" s="249"/>
      <c r="DM36" s="249"/>
      <c r="DN36" s="249"/>
      <c r="DO36" s="249"/>
      <c r="DP36" s="249"/>
      <c r="DQ36" s="249"/>
      <c r="DR36" s="249"/>
      <c r="DS36" s="249"/>
      <c r="DT36" s="249"/>
      <c r="DU36" s="249"/>
      <c r="DV36" s="249"/>
      <c r="DW36" s="249"/>
      <c r="DX36" s="249"/>
      <c r="DY36" s="249"/>
      <c r="DZ36" s="249"/>
      <c r="EA36" s="249"/>
      <c r="EB36" s="249"/>
      <c r="EC36" s="249"/>
      <c r="ED36" s="249"/>
      <c r="EE36" s="249"/>
      <c r="EF36" s="249"/>
      <c r="EG36" s="249"/>
      <c r="EH36" s="249"/>
      <c r="EI36" s="249"/>
      <c r="EJ36" s="249"/>
      <c r="EK36" s="249"/>
      <c r="EL36" s="249"/>
      <c r="EM36" s="249"/>
      <c r="EN36" s="249"/>
      <c r="EO36" s="249"/>
      <c r="EP36" s="249"/>
      <c r="EQ36" s="249"/>
      <c r="ER36" s="249"/>
      <c r="ES36" s="249"/>
      <c r="ET36" s="249"/>
      <c r="EU36" s="249"/>
      <c r="EV36" s="249"/>
      <c r="EW36" s="249"/>
      <c r="EX36" s="249"/>
      <c r="EY36" s="249"/>
      <c r="EZ36" s="249"/>
      <c r="FA36" s="249"/>
      <c r="FB36" s="249"/>
      <c r="FC36" s="249"/>
      <c r="FD36" s="249"/>
      <c r="FE36" s="249"/>
      <c r="FF36" s="249"/>
      <c r="FG36" s="249"/>
      <c r="FH36" s="249"/>
      <c r="FI36" s="249"/>
      <c r="FJ36" s="249"/>
      <c r="FK36" s="249"/>
      <c r="FL36" s="249"/>
      <c r="FM36" s="249"/>
      <c r="FN36" s="249"/>
      <c r="FO36" s="249"/>
      <c r="FP36" s="249"/>
      <c r="FQ36" s="249"/>
      <c r="FR36" s="249"/>
      <c r="FS36" s="249"/>
      <c r="FT36" s="249"/>
      <c r="FU36" s="249"/>
      <c r="FV36" s="249"/>
      <c r="FW36" s="249"/>
      <c r="FX36" s="249"/>
      <c r="FY36" s="249"/>
      <c r="FZ36" s="249"/>
      <c r="GA36" s="249"/>
      <c r="GB36" s="249"/>
      <c r="GC36" s="249"/>
      <c r="GD36" s="249"/>
      <c r="GE36" s="249"/>
      <c r="GF36" s="249"/>
      <c r="GG36" s="249"/>
      <c r="GH36" s="249"/>
      <c r="GI36" s="249"/>
      <c r="GJ36" s="249"/>
      <c r="GK36" s="249"/>
      <c r="GL36" s="249"/>
      <c r="GM36" s="249"/>
      <c r="GN36" s="249"/>
      <c r="GO36" s="249"/>
      <c r="GP36" s="249"/>
      <c r="GQ36" s="249"/>
      <c r="GR36" s="249"/>
      <c r="GS36" s="249"/>
      <c r="GT36" s="249"/>
      <c r="GU36" s="249"/>
      <c r="GV36" s="249"/>
      <c r="GW36" s="249"/>
      <c r="GX36" s="249"/>
      <c r="GY36" s="249"/>
      <c r="GZ36" s="249"/>
      <c r="HA36" s="249"/>
      <c r="HB36" s="249"/>
      <c r="HC36" s="249"/>
      <c r="HD36" s="249"/>
      <c r="HE36" s="249"/>
      <c r="HF36" s="249"/>
      <c r="HG36" s="249"/>
      <c r="HH36" s="249"/>
      <c r="HI36" s="249"/>
      <c r="HJ36" s="249"/>
      <c r="HK36" s="249"/>
      <c r="HL36" s="249"/>
      <c r="HM36" s="249"/>
      <c r="HN36" s="249"/>
      <c r="HO36" s="249"/>
      <c r="HP36" s="249"/>
      <c r="HQ36" s="249"/>
      <c r="HR36" s="249"/>
      <c r="HS36" s="249"/>
      <c r="HT36" s="249"/>
      <c r="HU36" s="249"/>
      <c r="HV36" s="249"/>
      <c r="HW36" s="249"/>
      <c r="HX36" s="249"/>
      <c r="HY36" s="249"/>
      <c r="HZ36" s="249"/>
      <c r="IA36" s="249"/>
      <c r="IB36" s="249"/>
      <c r="IC36" s="249"/>
      <c r="ID36" s="249"/>
      <c r="IE36" s="249"/>
      <c r="IF36" s="249"/>
      <c r="IG36" s="249"/>
      <c r="IH36" s="249"/>
      <c r="II36" s="249"/>
      <c r="IJ36" s="249"/>
      <c r="IK36" s="249"/>
      <c r="IL36" s="249"/>
      <c r="IM36" s="249"/>
      <c r="IN36" s="249"/>
      <c r="IO36" s="249"/>
      <c r="IP36" s="249"/>
      <c r="IQ36" s="249"/>
      <c r="IR36" s="249"/>
      <c r="IS36" s="249"/>
      <c r="IT36" s="249"/>
      <c r="IU36" s="249"/>
      <c r="IV36" s="249"/>
      <c r="IW36" s="249"/>
      <c r="IX36" s="249"/>
      <c r="IY36" s="249"/>
      <c r="IZ36" s="249"/>
      <c r="JA36" s="249"/>
      <c r="JB36" s="249"/>
      <c r="JC36" s="249"/>
      <c r="JD36" s="249"/>
      <c r="JE36" s="249"/>
      <c r="JF36" s="249"/>
      <c r="JG36" s="249"/>
      <c r="JH36" s="249"/>
      <c r="JI36" s="249"/>
      <c r="JJ36" s="249"/>
      <c r="JK36" s="249"/>
      <c r="JL36" s="249"/>
      <c r="JM36" s="249"/>
      <c r="JN36" s="249"/>
      <c r="JO36" s="249"/>
      <c r="JP36" s="249"/>
      <c r="JQ36" s="249"/>
      <c r="JR36" s="249"/>
      <c r="JS36" s="249"/>
      <c r="JT36" s="249"/>
      <c r="JU36" s="249"/>
      <c r="JV36" s="249"/>
      <c r="JW36" s="249"/>
      <c r="JX36" s="249"/>
      <c r="JY36" s="249"/>
      <c r="JZ36" s="249"/>
      <c r="KA36" s="249"/>
      <c r="KB36" s="249"/>
      <c r="KC36" s="249"/>
      <c r="KD36" s="249"/>
      <c r="KE36" s="249"/>
      <c r="KF36" s="249"/>
      <c r="KG36" s="249"/>
      <c r="KH36" s="249"/>
      <c r="KI36" s="249"/>
      <c r="KJ36" s="249"/>
      <c r="KK36" s="249"/>
      <c r="KL36" s="249"/>
      <c r="KM36" s="249"/>
      <c r="KN36" s="249"/>
      <c r="KO36" s="249"/>
      <c r="KP36" s="249"/>
      <c r="KQ36" s="249"/>
      <c r="KR36" s="249"/>
      <c r="KS36" s="249"/>
      <c r="KT36" s="249"/>
      <c r="KU36" s="249"/>
      <c r="KV36" s="249"/>
      <c r="KW36" s="249"/>
      <c r="KX36" s="249"/>
      <c r="KY36" s="249"/>
      <c r="KZ36" s="249"/>
      <c r="LA36" s="249"/>
      <c r="LB36" s="249"/>
      <c r="LC36" s="249"/>
      <c r="LD36" s="249"/>
      <c r="LE36" s="249"/>
      <c r="LF36" s="249"/>
      <c r="LG36" s="249"/>
      <c r="LH36" s="249"/>
      <c r="LI36" s="249"/>
      <c r="LJ36" s="249"/>
      <c r="LK36" s="249"/>
      <c r="LL36" s="249"/>
      <c r="LM36" s="249"/>
      <c r="LN36" s="249"/>
      <c r="LO36" s="249"/>
      <c r="LP36" s="249"/>
      <c r="LQ36" s="249"/>
      <c r="LR36" s="249"/>
      <c r="LS36" s="249"/>
      <c r="LT36" s="249"/>
      <c r="LU36" s="249"/>
      <c r="LV36" s="249"/>
      <c r="LW36" s="249"/>
      <c r="LX36" s="249"/>
      <c r="LY36" s="249"/>
      <c r="LZ36" s="249"/>
      <c r="MA36" s="249"/>
      <c r="MB36" s="249"/>
      <c r="MC36" s="249"/>
      <c r="MD36" s="249"/>
      <c r="ME36" s="249"/>
      <c r="MF36" s="249"/>
      <c r="MG36" s="249"/>
      <c r="MH36" s="249"/>
      <c r="MI36" s="249"/>
      <c r="MJ36" s="249"/>
      <c r="MK36" s="249"/>
      <c r="ML36" s="249"/>
      <c r="MM36" s="249"/>
      <c r="MN36" s="249"/>
      <c r="MO36" s="249"/>
      <c r="MP36" s="249"/>
      <c r="MQ36" s="249"/>
      <c r="MR36" s="249"/>
      <c r="MS36" s="249"/>
      <c r="MT36" s="249"/>
      <c r="MU36" s="249"/>
      <c r="MV36" s="249"/>
      <c r="MW36" s="249"/>
      <c r="MX36" s="249"/>
      <c r="MY36" s="249"/>
      <c r="MZ36" s="249"/>
      <c r="NA36" s="249"/>
      <c r="NB36" s="249"/>
      <c r="NC36" s="249"/>
      <c r="ND36" s="249"/>
      <c r="NE36" s="249"/>
      <c r="NF36" s="249"/>
      <c r="NG36" s="249"/>
      <c r="NH36" s="249"/>
      <c r="NI36" s="249"/>
      <c r="NJ36" s="249"/>
      <c r="NK36" s="249"/>
      <c r="NL36" s="249"/>
      <c r="NM36" s="249"/>
      <c r="NN36" s="249"/>
      <c r="NO36" s="249"/>
      <c r="NP36" s="249"/>
      <c r="NQ36" s="249"/>
      <c r="NR36" s="249"/>
      <c r="NS36" s="249"/>
      <c r="NT36" s="249"/>
      <c r="NU36" s="249"/>
      <c r="NV36" s="249"/>
      <c r="NW36" s="249"/>
      <c r="NX36" s="249"/>
      <c r="NY36" s="249"/>
      <c r="NZ36" s="249"/>
      <c r="OA36" s="249"/>
      <c r="OB36" s="249"/>
      <c r="OC36" s="249"/>
      <c r="OD36" s="249"/>
      <c r="OE36" s="249"/>
      <c r="OF36" s="249"/>
      <c r="OG36" s="249"/>
      <c r="OH36" s="249"/>
      <c r="OI36" s="249"/>
      <c r="OJ36" s="249"/>
      <c r="OK36" s="249"/>
      <c r="OL36" s="249"/>
      <c r="OM36" s="249"/>
      <c r="ON36" s="249"/>
      <c r="OO36" s="249"/>
      <c r="OP36" s="249"/>
      <c r="OQ36" s="249"/>
      <c r="OR36" s="249"/>
      <c r="OS36" s="249"/>
      <c r="OT36" s="249"/>
      <c r="OU36" s="249"/>
      <c r="OV36" s="249"/>
      <c r="OW36" s="249"/>
      <c r="OX36" s="249"/>
      <c r="OY36" s="249"/>
      <c r="OZ36" s="249"/>
      <c r="PA36" s="249"/>
      <c r="PB36" s="249"/>
      <c r="PC36" s="249"/>
      <c r="PD36" s="249"/>
      <c r="PE36" s="249"/>
      <c r="PF36" s="249"/>
      <c r="PG36" s="249"/>
      <c r="PH36" s="249"/>
      <c r="PI36" s="249"/>
      <c r="PJ36" s="249"/>
      <c r="PK36" s="249"/>
      <c r="PL36" s="249"/>
      <c r="PM36" s="249"/>
      <c r="PN36" s="249"/>
      <c r="PO36" s="249"/>
      <c r="PP36" s="249"/>
      <c r="PQ36" s="249"/>
      <c r="PR36" s="249"/>
      <c r="PS36" s="249"/>
      <c r="PT36" s="249"/>
      <c r="PU36" s="249"/>
      <c r="PV36" s="249"/>
      <c r="PW36" s="249"/>
      <c r="PX36" s="249"/>
      <c r="PY36" s="249"/>
      <c r="PZ36" s="249"/>
      <c r="QA36" s="249"/>
      <c r="QB36" s="249"/>
      <c r="QC36" s="249"/>
      <c r="QD36" s="249"/>
      <c r="QE36" s="249"/>
      <c r="QF36" s="249"/>
      <c r="QG36" s="249"/>
      <c r="QH36" s="249"/>
      <c r="QI36" s="249"/>
      <c r="QJ36" s="249"/>
      <c r="QK36" s="249"/>
      <c r="QL36" s="249"/>
      <c r="QM36" s="249"/>
      <c r="QN36" s="249"/>
      <c r="QO36" s="249"/>
      <c r="QP36" s="249"/>
      <c r="QQ36" s="249"/>
      <c r="QR36" s="249"/>
      <c r="QS36" s="249"/>
      <c r="QT36" s="249"/>
      <c r="QU36" s="249"/>
      <c r="QV36" s="249"/>
      <c r="QW36" s="249"/>
      <c r="QX36" s="249"/>
      <c r="QY36" s="249"/>
      <c r="QZ36" s="249"/>
      <c r="RA36" s="249"/>
      <c r="RB36" s="249"/>
      <c r="RC36" s="249"/>
      <c r="RD36" s="249"/>
      <c r="RE36" s="249"/>
      <c r="RF36" s="249"/>
      <c r="RG36" s="249"/>
      <c r="RH36" s="249"/>
      <c r="RI36" s="249"/>
      <c r="RJ36" s="249"/>
      <c r="RK36" s="249"/>
      <c r="RL36" s="249"/>
      <c r="RM36" s="249"/>
      <c r="RN36" s="249"/>
      <c r="RO36" s="249"/>
      <c r="RP36" s="249"/>
      <c r="RQ36" s="249"/>
      <c r="RR36" s="249"/>
      <c r="RS36" s="249"/>
      <c r="RT36" s="249"/>
      <c r="RU36" s="249"/>
      <c r="RV36" s="249"/>
      <c r="RW36" s="249"/>
      <c r="RX36" s="249"/>
      <c r="RY36" s="249"/>
      <c r="RZ36" s="249"/>
      <c r="SA36" s="249"/>
      <c r="SB36" s="249"/>
      <c r="SC36" s="249"/>
      <c r="SD36" s="249"/>
      <c r="SE36" s="249"/>
      <c r="SF36" s="249"/>
      <c r="SG36" s="249"/>
      <c r="SH36" s="249"/>
      <c r="SI36" s="249"/>
      <c r="SJ36" s="249"/>
      <c r="SK36" s="249"/>
      <c r="SL36" s="249"/>
      <c r="SM36" s="249"/>
      <c r="SN36" s="249"/>
      <c r="SO36" s="249"/>
      <c r="SP36" s="249"/>
      <c r="SQ36" s="249"/>
      <c r="SR36" s="249"/>
      <c r="SS36" s="249"/>
      <c r="ST36" s="249"/>
      <c r="SU36" s="249"/>
      <c r="SV36" s="249"/>
      <c r="SW36" s="249"/>
      <c r="SX36" s="249"/>
      <c r="SY36" s="249"/>
      <c r="SZ36" s="249"/>
      <c r="TA36" s="249"/>
      <c r="TB36" s="249"/>
      <c r="TC36" s="249"/>
      <c r="TD36" s="249"/>
      <c r="TE36" s="249"/>
      <c r="TF36" s="249"/>
      <c r="TG36" s="249"/>
      <c r="TH36" s="249"/>
      <c r="TI36" s="249"/>
      <c r="TJ36" s="249"/>
      <c r="TK36" s="249"/>
      <c r="TL36" s="249"/>
      <c r="TM36" s="249"/>
      <c r="TN36" s="249"/>
      <c r="TO36" s="249"/>
      <c r="TP36" s="249"/>
      <c r="TQ36" s="249"/>
      <c r="TR36" s="249"/>
      <c r="TS36" s="249"/>
      <c r="TT36" s="249"/>
      <c r="TU36" s="249"/>
      <c r="TV36" s="249"/>
      <c r="TW36" s="249"/>
      <c r="TX36" s="249"/>
      <c r="TY36" s="249"/>
      <c r="TZ36" s="249"/>
      <c r="UA36" s="249"/>
      <c r="UB36" s="249"/>
      <c r="UC36" s="249"/>
      <c r="UD36" s="249"/>
      <c r="UE36" s="249"/>
      <c r="UF36" s="249"/>
      <c r="UG36" s="249"/>
      <c r="UH36" s="249"/>
      <c r="UI36" s="249"/>
      <c r="UJ36" s="249"/>
      <c r="UK36" s="249"/>
      <c r="UL36" s="249"/>
      <c r="UM36" s="249"/>
      <c r="UN36" s="249"/>
      <c r="UO36" s="249"/>
      <c r="UP36" s="249"/>
      <c r="UQ36" s="249"/>
      <c r="UR36" s="249"/>
      <c r="US36" s="249"/>
      <c r="UT36" s="249"/>
      <c r="UU36" s="249"/>
      <c r="UV36" s="249"/>
      <c r="UW36" s="249"/>
      <c r="UX36" s="249"/>
      <c r="UY36" s="249"/>
      <c r="UZ36" s="249"/>
      <c r="VA36" s="249"/>
      <c r="VB36" s="249"/>
      <c r="VC36" s="249"/>
      <c r="VD36" s="249"/>
      <c r="VE36" s="249"/>
      <c r="VF36" s="249"/>
      <c r="VG36" s="249"/>
      <c r="VH36" s="249"/>
      <c r="VI36" s="249"/>
      <c r="VJ36" s="249"/>
      <c r="VK36" s="249"/>
      <c r="VL36" s="249"/>
      <c r="VM36" s="249"/>
      <c r="VN36" s="249"/>
      <c r="VO36" s="249"/>
      <c r="VP36" s="249"/>
      <c r="VQ36" s="249"/>
      <c r="VR36" s="249"/>
      <c r="VS36" s="249"/>
      <c r="VT36" s="249"/>
      <c r="VU36" s="249"/>
      <c r="VV36" s="249"/>
      <c r="VW36" s="249"/>
      <c r="VX36" s="249"/>
      <c r="VY36" s="249"/>
      <c r="VZ36" s="249"/>
      <c r="WA36" s="249"/>
      <c r="WB36" s="249"/>
      <c r="WC36" s="249"/>
      <c r="WD36" s="249"/>
      <c r="WE36" s="249"/>
      <c r="WF36" s="249"/>
      <c r="WG36" s="249"/>
      <c r="WH36" s="249"/>
      <c r="WI36" s="249"/>
      <c r="WJ36" s="249"/>
      <c r="WK36" s="249"/>
      <c r="WL36" s="249"/>
      <c r="WM36" s="249"/>
      <c r="WN36" s="249"/>
      <c r="WO36" s="249"/>
      <c r="WP36" s="249"/>
      <c r="WQ36" s="249"/>
      <c r="WR36" s="249"/>
      <c r="WS36" s="249"/>
      <c r="WT36" s="249"/>
      <c r="WU36" s="249"/>
      <c r="WV36" s="249"/>
      <c r="WW36" s="249"/>
      <c r="WX36" s="249"/>
      <c r="WY36" s="249"/>
      <c r="WZ36" s="249"/>
      <c r="XA36" s="249"/>
      <c r="XB36" s="249"/>
      <c r="XC36" s="249"/>
      <c r="XD36" s="249"/>
      <c r="XE36" s="249"/>
      <c r="XF36" s="249"/>
      <c r="XG36" s="249"/>
      <c r="XH36" s="249"/>
      <c r="XI36" s="249"/>
      <c r="XJ36" s="249"/>
      <c r="XK36" s="249"/>
      <c r="XL36" s="249"/>
      <c r="XM36" s="249"/>
      <c r="XN36" s="249"/>
      <c r="XO36" s="249"/>
      <c r="XP36" s="249"/>
      <c r="XQ36" s="249"/>
      <c r="XR36" s="249"/>
      <c r="XS36" s="249"/>
      <c r="XT36" s="249"/>
      <c r="XU36" s="249"/>
      <c r="XV36" s="249"/>
      <c r="XW36" s="249"/>
      <c r="XX36" s="249"/>
      <c r="XY36" s="249"/>
      <c r="XZ36" s="249"/>
      <c r="YA36" s="249"/>
      <c r="YB36" s="249"/>
      <c r="YC36" s="249"/>
      <c r="YD36" s="249"/>
      <c r="YE36" s="249"/>
      <c r="YF36" s="249"/>
      <c r="YG36" s="249"/>
      <c r="YH36" s="249"/>
      <c r="YI36" s="249"/>
      <c r="YJ36" s="249"/>
      <c r="YK36" s="249"/>
      <c r="YL36" s="249"/>
      <c r="YM36" s="249"/>
      <c r="YN36" s="249"/>
      <c r="YO36" s="249"/>
      <c r="YP36" s="249"/>
      <c r="YQ36" s="249"/>
      <c r="YR36" s="249"/>
      <c r="YS36" s="249"/>
      <c r="YT36" s="249"/>
      <c r="YU36" s="249"/>
      <c r="YV36" s="249"/>
      <c r="YW36" s="249"/>
      <c r="YX36" s="249"/>
      <c r="YY36" s="249"/>
      <c r="YZ36" s="249"/>
      <c r="ZA36" s="249"/>
      <c r="ZB36" s="249"/>
      <c r="ZC36" s="249"/>
      <c r="ZD36" s="249"/>
      <c r="ZE36" s="249"/>
      <c r="ZF36" s="249"/>
      <c r="ZG36" s="249"/>
      <c r="ZH36" s="249"/>
      <c r="ZI36" s="249"/>
      <c r="ZJ36" s="249"/>
      <c r="ZK36" s="249"/>
      <c r="ZL36" s="249"/>
      <c r="ZM36" s="249"/>
      <c r="ZN36" s="249"/>
      <c r="ZO36" s="249"/>
      <c r="ZP36" s="249"/>
      <c r="ZQ36" s="249"/>
      <c r="ZR36" s="249"/>
      <c r="ZS36" s="249"/>
      <c r="ZT36" s="249"/>
      <c r="ZU36" s="249"/>
      <c r="ZV36" s="249"/>
      <c r="ZW36" s="249"/>
      <c r="ZX36" s="249"/>
      <c r="ZY36" s="249"/>
      <c r="ZZ36" s="249"/>
      <c r="AAA36" s="249"/>
      <c r="AAB36" s="249"/>
      <c r="AAC36" s="249"/>
      <c r="AAD36" s="249"/>
      <c r="AAE36" s="249"/>
      <c r="AAF36" s="249"/>
      <c r="AAG36" s="249"/>
      <c r="AAH36" s="249"/>
      <c r="AAI36" s="249"/>
      <c r="AAJ36" s="249"/>
      <c r="AAK36" s="249"/>
      <c r="AAL36" s="249"/>
      <c r="AAM36" s="249"/>
      <c r="AAN36" s="249"/>
      <c r="AAO36" s="249"/>
      <c r="AAP36" s="249"/>
      <c r="AAQ36" s="249"/>
      <c r="AAR36" s="249"/>
      <c r="AAS36" s="249"/>
      <c r="AAT36" s="249"/>
      <c r="AAU36" s="249"/>
      <c r="AAV36" s="249"/>
      <c r="AAW36" s="249"/>
      <c r="AAX36" s="249"/>
      <c r="AAY36" s="249"/>
      <c r="AAZ36" s="249"/>
      <c r="ABA36" s="249"/>
      <c r="ABB36" s="249"/>
      <c r="ABC36" s="249"/>
      <c r="ABD36" s="249"/>
      <c r="ABE36" s="249"/>
      <c r="ABF36" s="249"/>
      <c r="ABG36" s="249"/>
      <c r="ABH36" s="249"/>
      <c r="ABI36" s="249"/>
      <c r="ABJ36" s="249"/>
      <c r="ABK36" s="249"/>
      <c r="ABL36" s="249"/>
      <c r="ABM36" s="249"/>
      <c r="ABN36" s="249"/>
      <c r="ABO36" s="249"/>
      <c r="ABP36" s="249"/>
      <c r="ABQ36" s="249"/>
      <c r="ABR36" s="249"/>
      <c r="ABS36" s="249"/>
      <c r="ABT36" s="249"/>
      <c r="ABU36" s="249"/>
      <c r="ABV36" s="249"/>
      <c r="ABW36" s="249"/>
      <c r="ABX36" s="249"/>
      <c r="ABY36" s="249"/>
      <c r="ABZ36" s="249"/>
      <c r="ACA36" s="249"/>
      <c r="ACB36" s="249"/>
      <c r="ACC36" s="249"/>
      <c r="ACD36" s="249"/>
      <c r="ACE36" s="249"/>
      <c r="ACF36" s="249"/>
      <c r="ACG36" s="249"/>
      <c r="ACH36" s="249"/>
      <c r="ACI36" s="249"/>
      <c r="ACJ36" s="249"/>
      <c r="ACK36" s="249"/>
      <c r="ACL36" s="249"/>
      <c r="ACM36" s="249"/>
      <c r="ACN36" s="249"/>
      <c r="ACO36" s="249"/>
      <c r="ACP36" s="249"/>
      <c r="ACQ36" s="249"/>
      <c r="ACR36" s="249"/>
      <c r="ACS36" s="249"/>
      <c r="ACT36" s="249"/>
      <c r="ACU36" s="249"/>
      <c r="ACV36" s="249"/>
      <c r="ACW36" s="249"/>
      <c r="ACX36" s="249"/>
      <c r="ACY36" s="249"/>
      <c r="ACZ36" s="249"/>
      <c r="ADA36" s="249"/>
      <c r="ADB36" s="249"/>
      <c r="ADC36" s="249"/>
      <c r="ADD36" s="249"/>
      <c r="ADE36" s="249"/>
      <c r="ADF36" s="249"/>
      <c r="ADG36" s="249"/>
      <c r="ADH36" s="249"/>
      <c r="ADI36" s="249"/>
      <c r="ADJ36" s="249"/>
      <c r="ADK36" s="249"/>
      <c r="ADL36" s="249"/>
      <c r="ADM36" s="249"/>
      <c r="ADN36" s="249"/>
      <c r="ADO36" s="249"/>
      <c r="ADP36" s="249"/>
      <c r="ADQ36" s="249"/>
      <c r="ADR36" s="249"/>
      <c r="ADS36" s="249"/>
      <c r="ADT36" s="249"/>
      <c r="ADU36" s="249"/>
      <c r="ADV36" s="249"/>
      <c r="ADW36" s="249"/>
      <c r="ADX36" s="249"/>
      <c r="ADY36" s="249"/>
      <c r="ADZ36" s="249"/>
      <c r="AEA36" s="249"/>
      <c r="AEB36" s="249"/>
      <c r="AEC36" s="249"/>
      <c r="AED36" s="249"/>
      <c r="AEE36" s="249"/>
      <c r="AEF36" s="249"/>
      <c r="AEG36" s="249"/>
      <c r="AEH36" s="249"/>
      <c r="AEI36" s="249"/>
      <c r="AEJ36" s="249"/>
      <c r="AEK36" s="249"/>
      <c r="AEL36" s="249"/>
      <c r="AEM36" s="249"/>
      <c r="AEN36" s="249"/>
      <c r="AEO36" s="249"/>
      <c r="AEP36" s="249"/>
      <c r="AEQ36" s="249"/>
      <c r="AER36" s="249"/>
      <c r="AES36" s="249"/>
      <c r="AET36" s="249"/>
      <c r="AEU36" s="249"/>
      <c r="AEV36" s="249"/>
      <c r="AEW36" s="249"/>
      <c r="AEX36" s="249"/>
      <c r="AEY36" s="249"/>
      <c r="AEZ36" s="249"/>
      <c r="AFA36" s="249"/>
      <c r="AFB36" s="249"/>
      <c r="AFC36" s="249"/>
      <c r="AFD36" s="249"/>
      <c r="AFE36" s="249"/>
      <c r="AFF36" s="249"/>
      <c r="AFG36" s="249"/>
      <c r="AFH36" s="249"/>
      <c r="AFI36" s="249"/>
      <c r="AFJ36" s="249"/>
      <c r="AFK36" s="249"/>
      <c r="AFL36" s="249"/>
      <c r="AFM36" s="249"/>
      <c r="AFN36" s="249"/>
      <c r="AFO36" s="249"/>
      <c r="AFP36" s="249"/>
      <c r="AFQ36" s="249"/>
      <c r="AFR36" s="249"/>
      <c r="AFS36" s="249"/>
      <c r="AFT36" s="249"/>
      <c r="AFU36" s="249"/>
      <c r="AFV36" s="249"/>
      <c r="AFW36" s="249"/>
      <c r="AFX36" s="249"/>
      <c r="AFY36" s="249"/>
      <c r="AFZ36" s="249"/>
      <c r="AGA36" s="249"/>
      <c r="AGB36" s="249"/>
      <c r="AGC36" s="270"/>
    </row>
    <row r="37" spans="1:861" ht="14.25" customHeight="1" x14ac:dyDescent="0.2">
      <c r="A37" s="200">
        <v>9828</v>
      </c>
      <c r="B37" s="183" t="s">
        <v>5</v>
      </c>
      <c r="C37" s="300">
        <v>45749</v>
      </c>
      <c r="D37" s="300" t="s">
        <v>51</v>
      </c>
      <c r="E37" s="300">
        <v>45454</v>
      </c>
      <c r="F37" s="300" t="s">
        <v>51</v>
      </c>
      <c r="G37" s="300" t="s">
        <v>51</v>
      </c>
      <c r="H37" s="300">
        <v>45749</v>
      </c>
      <c r="I37" s="326"/>
      <c r="J37" s="224" t="s">
        <v>331</v>
      </c>
      <c r="K37" s="327" t="s">
        <v>444</v>
      </c>
      <c r="L37" s="327" t="s">
        <v>146</v>
      </c>
      <c r="M37" s="328">
        <v>45048</v>
      </c>
      <c r="N37" s="329">
        <v>9105141616</v>
      </c>
      <c r="O37" s="224"/>
      <c r="P37" s="368" t="s">
        <v>445</v>
      </c>
      <c r="Q37" s="327" t="s">
        <v>147</v>
      </c>
      <c r="R37" s="224" t="s">
        <v>58</v>
      </c>
      <c r="S37" s="327" t="s">
        <v>72</v>
      </c>
      <c r="T37" s="225">
        <v>50010658</v>
      </c>
      <c r="U37" s="380" t="s">
        <v>421</v>
      </c>
      <c r="V37" s="224" t="s">
        <v>61</v>
      </c>
      <c r="W37" s="224">
        <v>8658</v>
      </c>
      <c r="X37" s="224"/>
      <c r="Y37" s="221">
        <v>30</v>
      </c>
      <c r="Z37" s="221" t="s">
        <v>446</v>
      </c>
      <c r="AA37" s="222">
        <v>35.81</v>
      </c>
      <c r="AB37" s="223">
        <f t="shared" si="9"/>
        <v>1074.3000000000002</v>
      </c>
      <c r="AC37" s="224"/>
      <c r="AD37" s="347">
        <v>88470</v>
      </c>
      <c r="AE37" s="300">
        <v>45748</v>
      </c>
      <c r="AF37" s="300">
        <v>45749</v>
      </c>
      <c r="AG37" s="300">
        <v>45785</v>
      </c>
      <c r="AH37" s="300">
        <v>45786</v>
      </c>
      <c r="AI37" s="356" t="s">
        <v>499</v>
      </c>
      <c r="AJ37" s="181"/>
      <c r="AK37" s="144" t="s">
        <v>62</v>
      </c>
      <c r="AL37" s="262"/>
      <c r="AM37" s="381"/>
      <c r="AN37" s="381"/>
      <c r="AO37" s="382"/>
      <c r="AP37" s="321">
        <f t="shared" si="11"/>
        <v>14</v>
      </c>
      <c r="AQ37" s="250"/>
      <c r="AR37" s="250"/>
      <c r="AS37" s="250"/>
      <c r="AT37" s="250"/>
      <c r="AU37" s="250"/>
      <c r="AV37" s="250"/>
      <c r="AW37" s="250"/>
      <c r="AX37" s="250"/>
      <c r="AY37" s="250"/>
      <c r="AZ37" s="250"/>
      <c r="BA37" s="250"/>
      <c r="BB37" s="250"/>
      <c r="BC37" s="250"/>
      <c r="BD37" s="250"/>
      <c r="BE37" s="250"/>
      <c r="BF37" s="250"/>
      <c r="BG37" s="250"/>
      <c r="BH37" s="250"/>
      <c r="BI37" s="250"/>
      <c r="BJ37" s="250"/>
      <c r="BK37" s="250"/>
      <c r="BL37" s="250"/>
      <c r="BM37" s="250"/>
      <c r="BN37" s="250"/>
      <c r="BO37" s="250"/>
      <c r="BP37" s="250"/>
      <c r="BQ37" s="250"/>
      <c r="BR37" s="250"/>
      <c r="BS37" s="250"/>
      <c r="BT37" s="250"/>
      <c r="BU37" s="250"/>
      <c r="BV37" s="250"/>
      <c r="BW37" s="250"/>
      <c r="BX37" s="250"/>
      <c r="BY37" s="250"/>
      <c r="BZ37" s="250"/>
      <c r="CA37" s="250"/>
      <c r="CB37" s="250"/>
      <c r="CC37" s="250"/>
      <c r="CD37" s="250"/>
      <c r="CE37" s="250"/>
      <c r="CF37" s="250"/>
      <c r="CG37" s="250"/>
      <c r="CH37" s="250"/>
      <c r="CI37" s="250"/>
      <c r="CJ37" s="250"/>
      <c r="CK37" s="250"/>
      <c r="CL37" s="250"/>
      <c r="CM37" s="250"/>
      <c r="CN37" s="250"/>
      <c r="CO37" s="250"/>
      <c r="CP37" s="250"/>
      <c r="CQ37" s="250"/>
      <c r="CR37" s="250"/>
      <c r="CS37" s="250"/>
      <c r="CT37" s="250"/>
      <c r="CU37" s="250"/>
      <c r="CV37" s="250"/>
      <c r="CW37" s="250"/>
      <c r="CX37" s="250"/>
      <c r="CY37" s="250"/>
      <c r="CZ37" s="250"/>
      <c r="DA37" s="250"/>
      <c r="DB37" s="250"/>
      <c r="DC37" s="250"/>
      <c r="DD37" s="250"/>
      <c r="DE37" s="250"/>
      <c r="DF37" s="250"/>
      <c r="DG37" s="250"/>
      <c r="DH37" s="250"/>
      <c r="DI37" s="250"/>
      <c r="DJ37" s="250"/>
      <c r="DK37" s="250"/>
      <c r="DL37" s="250"/>
      <c r="DM37" s="250"/>
      <c r="DN37" s="250"/>
      <c r="DO37" s="250"/>
      <c r="DP37" s="250"/>
      <c r="DQ37" s="250"/>
      <c r="DR37" s="250"/>
      <c r="DS37" s="250"/>
      <c r="DT37" s="250"/>
      <c r="DU37" s="250"/>
      <c r="DV37" s="250"/>
      <c r="DW37" s="250"/>
      <c r="DX37" s="250"/>
      <c r="DY37" s="250"/>
      <c r="DZ37" s="250"/>
      <c r="EA37" s="250"/>
      <c r="EB37" s="250"/>
      <c r="EC37" s="250"/>
      <c r="ED37" s="250"/>
      <c r="EE37" s="250"/>
      <c r="EF37" s="250"/>
      <c r="EG37" s="250"/>
      <c r="EH37" s="250"/>
      <c r="EI37" s="250"/>
      <c r="EJ37" s="250"/>
      <c r="EK37" s="250"/>
      <c r="EL37" s="250"/>
      <c r="EM37" s="250"/>
      <c r="EN37" s="250"/>
      <c r="EO37" s="250"/>
      <c r="EP37" s="250"/>
      <c r="EQ37" s="250"/>
      <c r="ER37" s="250"/>
      <c r="ES37" s="250"/>
      <c r="ET37" s="250"/>
      <c r="EU37" s="250"/>
      <c r="EV37" s="250"/>
      <c r="EW37" s="250"/>
      <c r="EX37" s="250"/>
      <c r="EY37" s="250"/>
      <c r="EZ37" s="250"/>
      <c r="FA37" s="250"/>
      <c r="FB37" s="250"/>
      <c r="FC37" s="250"/>
      <c r="FD37" s="250"/>
      <c r="FE37" s="250"/>
      <c r="FF37" s="250"/>
      <c r="FG37" s="250"/>
      <c r="FH37" s="250"/>
      <c r="FI37" s="250"/>
      <c r="FJ37" s="250"/>
      <c r="FK37" s="250"/>
      <c r="FL37" s="250"/>
      <c r="FM37" s="250"/>
      <c r="FN37" s="250"/>
      <c r="FO37" s="250"/>
      <c r="FP37" s="250"/>
      <c r="FQ37" s="250"/>
      <c r="FR37" s="250"/>
      <c r="FS37" s="250"/>
      <c r="FT37" s="250"/>
      <c r="FU37" s="250"/>
      <c r="FV37" s="250"/>
      <c r="FW37" s="250"/>
      <c r="FX37" s="250"/>
      <c r="FY37" s="250"/>
      <c r="FZ37" s="250"/>
      <c r="GA37" s="250"/>
      <c r="GB37" s="250"/>
      <c r="GC37" s="250"/>
      <c r="GD37" s="250"/>
      <c r="GE37" s="250"/>
      <c r="GF37" s="250"/>
      <c r="GG37" s="250"/>
      <c r="GH37" s="250"/>
      <c r="GI37" s="250"/>
      <c r="GJ37" s="250"/>
      <c r="GK37" s="250"/>
      <c r="GL37" s="250"/>
      <c r="GM37" s="250"/>
      <c r="GN37" s="250"/>
      <c r="GO37" s="250"/>
      <c r="GP37" s="250"/>
      <c r="GQ37" s="250"/>
      <c r="GR37" s="250"/>
      <c r="GS37" s="250"/>
      <c r="GT37" s="250"/>
      <c r="GU37" s="250"/>
      <c r="GV37" s="250"/>
      <c r="GW37" s="250"/>
      <c r="GX37" s="250"/>
      <c r="GY37" s="250"/>
      <c r="GZ37" s="250"/>
      <c r="HA37" s="250"/>
      <c r="HB37" s="250"/>
      <c r="HC37" s="250"/>
      <c r="HD37" s="250"/>
      <c r="HE37" s="250"/>
      <c r="HF37" s="250"/>
      <c r="HG37" s="250"/>
      <c r="HH37" s="250"/>
      <c r="HI37" s="250"/>
      <c r="HJ37" s="250"/>
      <c r="HK37" s="250"/>
      <c r="HL37" s="250"/>
      <c r="HM37" s="250"/>
      <c r="HN37" s="250"/>
      <c r="HO37" s="250"/>
      <c r="HP37" s="250"/>
      <c r="HQ37" s="250"/>
      <c r="HR37" s="250"/>
      <c r="HS37" s="250"/>
      <c r="HT37" s="250"/>
      <c r="HU37" s="250"/>
      <c r="HV37" s="250"/>
      <c r="HW37" s="250"/>
      <c r="HX37" s="250"/>
      <c r="HY37" s="250"/>
      <c r="HZ37" s="250"/>
      <c r="IA37" s="250"/>
      <c r="IB37" s="250"/>
      <c r="IC37" s="250"/>
      <c r="ID37" s="250"/>
      <c r="IE37" s="250"/>
      <c r="IF37" s="250"/>
      <c r="IG37" s="250"/>
      <c r="IH37" s="250"/>
      <c r="II37" s="250"/>
      <c r="IJ37" s="250"/>
      <c r="IK37" s="250"/>
      <c r="IL37" s="250"/>
      <c r="IM37" s="250"/>
      <c r="IN37" s="250"/>
      <c r="IO37" s="250"/>
      <c r="IP37" s="250"/>
      <c r="IQ37" s="250"/>
      <c r="IR37" s="250"/>
      <c r="IS37" s="250"/>
      <c r="IT37" s="250"/>
      <c r="IU37" s="250"/>
      <c r="IV37" s="250"/>
      <c r="IW37" s="250"/>
      <c r="IX37" s="250"/>
      <c r="IY37" s="250"/>
      <c r="IZ37" s="250"/>
      <c r="JA37" s="250"/>
      <c r="JB37" s="250"/>
      <c r="JC37" s="250"/>
      <c r="JD37" s="250"/>
      <c r="JE37" s="250"/>
      <c r="JF37" s="250"/>
      <c r="JG37" s="250"/>
      <c r="JH37" s="250"/>
      <c r="JI37" s="250"/>
      <c r="JJ37" s="250"/>
      <c r="JK37" s="250"/>
      <c r="JL37" s="250"/>
      <c r="JM37" s="250"/>
      <c r="JN37" s="250"/>
      <c r="JO37" s="250"/>
      <c r="JP37" s="250"/>
      <c r="JQ37" s="250"/>
      <c r="JR37" s="250"/>
      <c r="JS37" s="250"/>
      <c r="JT37" s="250"/>
      <c r="JU37" s="250"/>
      <c r="JV37" s="250"/>
      <c r="JW37" s="250"/>
      <c r="JX37" s="250"/>
      <c r="JY37" s="250"/>
      <c r="JZ37" s="250"/>
      <c r="KA37" s="250"/>
      <c r="KB37" s="250"/>
      <c r="KC37" s="250"/>
      <c r="KD37" s="250"/>
      <c r="KE37" s="250"/>
      <c r="KF37" s="250"/>
      <c r="KG37" s="250"/>
      <c r="KH37" s="250"/>
      <c r="KI37" s="250"/>
      <c r="KJ37" s="250"/>
      <c r="KK37" s="250"/>
      <c r="KL37" s="250"/>
      <c r="KM37" s="250"/>
      <c r="KN37" s="250"/>
      <c r="KO37" s="250"/>
      <c r="KP37" s="250"/>
      <c r="KQ37" s="250"/>
      <c r="KR37" s="250"/>
      <c r="KS37" s="250"/>
      <c r="KT37" s="250"/>
      <c r="KU37" s="250"/>
      <c r="KV37" s="250"/>
      <c r="KW37" s="250"/>
      <c r="KX37" s="250"/>
      <c r="KY37" s="250"/>
      <c r="KZ37" s="250"/>
      <c r="LA37" s="250"/>
      <c r="LB37" s="250"/>
      <c r="LC37" s="250"/>
      <c r="LD37" s="250"/>
      <c r="LE37" s="250"/>
      <c r="LF37" s="250"/>
      <c r="LG37" s="250"/>
      <c r="LH37" s="250"/>
      <c r="LI37" s="250"/>
      <c r="LJ37" s="250"/>
      <c r="LK37" s="250"/>
      <c r="LL37" s="250"/>
      <c r="LM37" s="250"/>
      <c r="LN37" s="250"/>
      <c r="LO37" s="250"/>
      <c r="LP37" s="250"/>
      <c r="LQ37" s="250"/>
      <c r="LR37" s="250"/>
      <c r="LS37" s="250"/>
      <c r="LT37" s="250"/>
      <c r="LU37" s="250"/>
      <c r="LV37" s="250"/>
      <c r="LW37" s="250"/>
      <c r="LX37" s="250"/>
      <c r="LY37" s="250"/>
      <c r="LZ37" s="250"/>
      <c r="MA37" s="250"/>
      <c r="MB37" s="250"/>
      <c r="MC37" s="250"/>
      <c r="MD37" s="250"/>
      <c r="ME37" s="250"/>
      <c r="MF37" s="250"/>
      <c r="MG37" s="250"/>
      <c r="MH37" s="250"/>
      <c r="MI37" s="250"/>
      <c r="MJ37" s="250"/>
      <c r="MK37" s="250"/>
      <c r="ML37" s="250"/>
      <c r="MM37" s="250"/>
      <c r="MN37" s="250"/>
      <c r="MO37" s="250"/>
      <c r="MP37" s="250"/>
      <c r="MQ37" s="250"/>
      <c r="MR37" s="250"/>
      <c r="MS37" s="250"/>
      <c r="MT37" s="250"/>
      <c r="MU37" s="250"/>
      <c r="MV37" s="250"/>
      <c r="MW37" s="250"/>
      <c r="MX37" s="250"/>
      <c r="MY37" s="250"/>
      <c r="MZ37" s="250"/>
      <c r="NA37" s="250"/>
      <c r="NB37" s="250"/>
      <c r="NC37" s="250"/>
      <c r="ND37" s="250"/>
      <c r="NE37" s="250"/>
      <c r="NF37" s="250"/>
      <c r="NG37" s="250"/>
      <c r="NH37" s="250"/>
      <c r="NI37" s="250"/>
      <c r="NJ37" s="250"/>
      <c r="NK37" s="250"/>
      <c r="NL37" s="250"/>
      <c r="NM37" s="250"/>
      <c r="NN37" s="250"/>
      <c r="NO37" s="250"/>
      <c r="NP37" s="250"/>
      <c r="NQ37" s="250"/>
      <c r="NR37" s="250"/>
      <c r="NS37" s="250"/>
      <c r="NT37" s="250"/>
      <c r="NU37" s="250"/>
      <c r="NV37" s="250"/>
      <c r="NW37" s="250"/>
      <c r="NX37" s="250"/>
      <c r="NY37" s="250"/>
      <c r="NZ37" s="250"/>
      <c r="OA37" s="250"/>
      <c r="OB37" s="250"/>
      <c r="OC37" s="250"/>
      <c r="OD37" s="250"/>
      <c r="OE37" s="250"/>
      <c r="OF37" s="250"/>
      <c r="OG37" s="250"/>
      <c r="OH37" s="250"/>
      <c r="OI37" s="250"/>
      <c r="OJ37" s="250"/>
      <c r="OK37" s="250"/>
      <c r="OL37" s="250"/>
      <c r="OM37" s="250"/>
      <c r="ON37" s="250"/>
      <c r="OO37" s="250"/>
      <c r="OP37" s="250"/>
      <c r="OQ37" s="250"/>
      <c r="OR37" s="250"/>
      <c r="OS37" s="250"/>
      <c r="OT37" s="250"/>
      <c r="OU37" s="250"/>
      <c r="OV37" s="250"/>
      <c r="OW37" s="250"/>
      <c r="OX37" s="250"/>
      <c r="OY37" s="250"/>
      <c r="OZ37" s="250"/>
      <c r="PA37" s="250"/>
      <c r="PB37" s="250"/>
      <c r="PC37" s="250"/>
      <c r="PD37" s="250"/>
      <c r="PE37" s="250"/>
      <c r="PF37" s="250"/>
      <c r="PG37" s="250"/>
      <c r="PH37" s="250"/>
      <c r="PI37" s="250"/>
      <c r="PJ37" s="250"/>
      <c r="PK37" s="250"/>
      <c r="PL37" s="250"/>
      <c r="PM37" s="250"/>
      <c r="PN37" s="250"/>
      <c r="PO37" s="250"/>
      <c r="PP37" s="250"/>
      <c r="PQ37" s="250"/>
      <c r="PR37" s="250"/>
      <c r="PS37" s="250"/>
      <c r="PT37" s="250"/>
      <c r="PU37" s="250"/>
      <c r="PV37" s="250"/>
      <c r="PW37" s="250"/>
      <c r="PX37" s="250"/>
      <c r="PY37" s="250"/>
      <c r="PZ37" s="250"/>
      <c r="QA37" s="250"/>
      <c r="QB37" s="250"/>
      <c r="QC37" s="250"/>
      <c r="QD37" s="250"/>
      <c r="QE37" s="250"/>
      <c r="QF37" s="250"/>
      <c r="QG37" s="250"/>
      <c r="QH37" s="250"/>
      <c r="QI37" s="250"/>
      <c r="QJ37" s="250"/>
      <c r="QK37" s="250"/>
      <c r="QL37" s="250"/>
      <c r="QM37" s="250"/>
      <c r="QN37" s="250"/>
      <c r="QO37" s="250"/>
      <c r="QP37" s="250"/>
      <c r="QQ37" s="250"/>
      <c r="QR37" s="250"/>
      <c r="QS37" s="250"/>
      <c r="QT37" s="250"/>
      <c r="QU37" s="250"/>
      <c r="QV37" s="250"/>
      <c r="QW37" s="250"/>
      <c r="QX37" s="250"/>
      <c r="QY37" s="250"/>
      <c r="QZ37" s="250"/>
      <c r="RA37" s="250"/>
      <c r="RB37" s="250"/>
      <c r="RC37" s="250"/>
      <c r="RD37" s="250"/>
      <c r="RE37" s="250"/>
      <c r="RF37" s="250"/>
      <c r="RG37" s="250"/>
      <c r="RH37" s="250"/>
      <c r="RI37" s="250"/>
      <c r="RJ37" s="250"/>
      <c r="RK37" s="250"/>
      <c r="RL37" s="250"/>
      <c r="RM37" s="250"/>
      <c r="RN37" s="250"/>
      <c r="RO37" s="250"/>
      <c r="RP37" s="250"/>
      <c r="RQ37" s="250"/>
      <c r="RR37" s="250"/>
      <c r="RS37" s="250"/>
      <c r="RT37" s="250"/>
      <c r="RU37" s="250"/>
      <c r="RV37" s="250"/>
      <c r="RW37" s="250"/>
      <c r="RX37" s="250"/>
      <c r="RY37" s="250"/>
      <c r="RZ37" s="250"/>
      <c r="SA37" s="250"/>
      <c r="SB37" s="250"/>
      <c r="SC37" s="250"/>
      <c r="SD37" s="250"/>
      <c r="SE37" s="250"/>
      <c r="SF37" s="250"/>
      <c r="SG37" s="250"/>
      <c r="SH37" s="250"/>
      <c r="SI37" s="250"/>
      <c r="SJ37" s="250"/>
      <c r="SK37" s="250"/>
      <c r="SL37" s="250"/>
      <c r="SM37" s="250"/>
      <c r="SN37" s="250"/>
      <c r="SO37" s="250"/>
      <c r="SP37" s="250"/>
      <c r="SQ37" s="250"/>
      <c r="SR37" s="250"/>
      <c r="SS37" s="250"/>
      <c r="ST37" s="250"/>
      <c r="SU37" s="250"/>
      <c r="SV37" s="250"/>
      <c r="SW37" s="250"/>
      <c r="SX37" s="250"/>
      <c r="SY37" s="250"/>
      <c r="SZ37" s="250"/>
      <c r="TA37" s="250"/>
      <c r="TB37" s="250"/>
      <c r="TC37" s="250"/>
      <c r="TD37" s="250"/>
      <c r="TE37" s="250"/>
      <c r="TF37" s="250"/>
      <c r="TG37" s="250"/>
      <c r="TH37" s="250"/>
      <c r="TI37" s="250"/>
      <c r="TJ37" s="250"/>
      <c r="TK37" s="250"/>
      <c r="TL37" s="250"/>
      <c r="TM37" s="250"/>
      <c r="TN37" s="250"/>
      <c r="TO37" s="250"/>
      <c r="TP37" s="250"/>
      <c r="TQ37" s="250"/>
      <c r="TR37" s="250"/>
      <c r="TS37" s="250"/>
      <c r="TT37" s="250"/>
      <c r="TU37" s="250"/>
      <c r="TV37" s="250"/>
      <c r="TW37" s="250"/>
      <c r="TX37" s="250"/>
      <c r="TY37" s="250"/>
      <c r="TZ37" s="250"/>
      <c r="UA37" s="250"/>
      <c r="UB37" s="250"/>
      <c r="UC37" s="250"/>
      <c r="UD37" s="250"/>
      <c r="UE37" s="250"/>
      <c r="UF37" s="250"/>
      <c r="UG37" s="250"/>
      <c r="UH37" s="250"/>
      <c r="UI37" s="250"/>
      <c r="UJ37" s="250"/>
      <c r="UK37" s="250"/>
      <c r="UL37" s="250"/>
      <c r="UM37" s="250"/>
      <c r="UN37" s="250"/>
      <c r="UO37" s="250"/>
      <c r="UP37" s="250"/>
      <c r="UQ37" s="250"/>
      <c r="UR37" s="250"/>
      <c r="US37" s="250"/>
      <c r="UT37" s="250"/>
      <c r="UU37" s="250"/>
      <c r="UV37" s="250"/>
      <c r="UW37" s="250"/>
      <c r="UX37" s="250"/>
      <c r="UY37" s="250"/>
      <c r="UZ37" s="250"/>
      <c r="VA37" s="250"/>
      <c r="VB37" s="250"/>
      <c r="VC37" s="250"/>
      <c r="VD37" s="250"/>
      <c r="VE37" s="250"/>
      <c r="VF37" s="250"/>
      <c r="VG37" s="250"/>
      <c r="VH37" s="250"/>
      <c r="VI37" s="250"/>
      <c r="VJ37" s="250"/>
      <c r="VK37" s="250"/>
      <c r="VL37" s="250"/>
      <c r="VM37" s="250"/>
      <c r="VN37" s="250"/>
      <c r="VO37" s="250"/>
      <c r="VP37" s="250"/>
      <c r="VQ37" s="250"/>
      <c r="VR37" s="250"/>
      <c r="VS37" s="250"/>
      <c r="VT37" s="250"/>
      <c r="VU37" s="250"/>
      <c r="VV37" s="250"/>
      <c r="VW37" s="250"/>
      <c r="VX37" s="250"/>
      <c r="VY37" s="250"/>
      <c r="VZ37" s="250"/>
      <c r="WA37" s="250"/>
      <c r="WB37" s="250"/>
      <c r="WC37" s="250"/>
      <c r="WD37" s="250"/>
      <c r="WE37" s="250"/>
      <c r="WF37" s="250"/>
      <c r="WG37" s="250"/>
      <c r="WH37" s="250"/>
      <c r="WI37" s="250"/>
      <c r="WJ37" s="250"/>
      <c r="WK37" s="250"/>
      <c r="WL37" s="250"/>
      <c r="WM37" s="250"/>
      <c r="WN37" s="250"/>
      <c r="WO37" s="250"/>
      <c r="WP37" s="250"/>
      <c r="WQ37" s="250"/>
      <c r="WR37" s="250"/>
      <c r="WS37" s="250"/>
      <c r="WT37" s="250"/>
      <c r="WU37" s="250"/>
      <c r="WV37" s="250"/>
      <c r="WW37" s="250"/>
      <c r="WX37" s="250"/>
      <c r="WY37" s="250"/>
      <c r="WZ37" s="250"/>
      <c r="XA37" s="250"/>
      <c r="XB37" s="250"/>
      <c r="XC37" s="250"/>
      <c r="XD37" s="250"/>
      <c r="XE37" s="250"/>
      <c r="XF37" s="250"/>
      <c r="XG37" s="250"/>
      <c r="XH37" s="250"/>
      <c r="XI37" s="250"/>
      <c r="XJ37" s="250"/>
      <c r="XK37" s="250"/>
      <c r="XL37" s="250"/>
      <c r="XM37" s="250"/>
      <c r="XN37" s="250"/>
      <c r="XO37" s="250"/>
      <c r="XP37" s="250"/>
      <c r="XQ37" s="250"/>
      <c r="XR37" s="250"/>
      <c r="XS37" s="250"/>
      <c r="XT37" s="250"/>
      <c r="XU37" s="250"/>
      <c r="XV37" s="250"/>
      <c r="XW37" s="250"/>
      <c r="XX37" s="250"/>
      <c r="XY37" s="250"/>
      <c r="XZ37" s="250"/>
      <c r="YA37" s="250"/>
      <c r="YB37" s="250"/>
      <c r="YC37" s="250"/>
      <c r="YD37" s="250"/>
      <c r="YE37" s="250"/>
      <c r="YF37" s="250"/>
      <c r="YG37" s="250"/>
      <c r="YH37" s="250"/>
      <c r="YI37" s="250"/>
      <c r="YJ37" s="250"/>
      <c r="YK37" s="250"/>
      <c r="YL37" s="250"/>
      <c r="YM37" s="250"/>
      <c r="YN37" s="250"/>
      <c r="YO37" s="250"/>
      <c r="YP37" s="250"/>
      <c r="YQ37" s="250"/>
      <c r="YR37" s="250"/>
      <c r="YS37" s="250"/>
      <c r="YT37" s="250"/>
      <c r="YU37" s="250"/>
      <c r="YV37" s="250"/>
      <c r="YW37" s="250"/>
      <c r="YX37" s="250"/>
      <c r="YY37" s="250"/>
      <c r="YZ37" s="250"/>
      <c r="ZA37" s="250"/>
      <c r="ZB37" s="250"/>
      <c r="ZC37" s="250"/>
      <c r="ZD37" s="250"/>
      <c r="ZE37" s="250"/>
      <c r="ZF37" s="250"/>
      <c r="ZG37" s="250"/>
      <c r="ZH37" s="250"/>
      <c r="ZI37" s="250"/>
      <c r="ZJ37" s="250"/>
      <c r="ZK37" s="250"/>
      <c r="ZL37" s="250"/>
      <c r="ZM37" s="250"/>
      <c r="ZN37" s="250"/>
      <c r="ZO37" s="250"/>
      <c r="ZP37" s="250"/>
      <c r="ZQ37" s="250"/>
      <c r="ZR37" s="250"/>
      <c r="ZS37" s="250"/>
      <c r="ZT37" s="250"/>
      <c r="ZU37" s="250"/>
      <c r="ZV37" s="250"/>
      <c r="ZW37" s="250"/>
      <c r="ZX37" s="250"/>
      <c r="ZY37" s="250"/>
      <c r="ZZ37" s="250"/>
      <c r="AAA37" s="250"/>
      <c r="AAB37" s="250"/>
      <c r="AAC37" s="250"/>
      <c r="AAD37" s="250"/>
      <c r="AAE37" s="250"/>
      <c r="AAF37" s="250"/>
      <c r="AAG37" s="250"/>
      <c r="AAH37" s="250"/>
      <c r="AAI37" s="250"/>
      <c r="AAJ37" s="250"/>
      <c r="AAK37" s="250"/>
      <c r="AAL37" s="250"/>
      <c r="AAM37" s="250"/>
      <c r="AAN37" s="250"/>
      <c r="AAO37" s="250"/>
      <c r="AAP37" s="250"/>
      <c r="AAQ37" s="250"/>
      <c r="AAR37" s="250"/>
      <c r="AAS37" s="250"/>
      <c r="AAT37" s="250"/>
      <c r="AAU37" s="250"/>
      <c r="AAV37" s="250"/>
      <c r="AAW37" s="250"/>
      <c r="AAX37" s="250"/>
      <c r="AAY37" s="250"/>
      <c r="AAZ37" s="250"/>
      <c r="ABA37" s="250"/>
      <c r="ABB37" s="250"/>
      <c r="ABC37" s="250"/>
      <c r="ABD37" s="250"/>
      <c r="ABE37" s="250"/>
      <c r="ABF37" s="250"/>
      <c r="ABG37" s="250"/>
      <c r="ABH37" s="250"/>
      <c r="ABI37" s="250"/>
      <c r="ABJ37" s="250"/>
      <c r="ABK37" s="250"/>
      <c r="ABL37" s="250"/>
      <c r="ABM37" s="250"/>
      <c r="ABN37" s="250"/>
      <c r="ABO37" s="250"/>
      <c r="ABP37" s="250"/>
      <c r="ABQ37" s="250"/>
      <c r="ABR37" s="250"/>
      <c r="ABS37" s="250"/>
      <c r="ABT37" s="250"/>
      <c r="ABU37" s="250"/>
      <c r="ABV37" s="250"/>
      <c r="ABW37" s="250"/>
      <c r="ABX37" s="250"/>
      <c r="ABY37" s="250"/>
      <c r="ABZ37" s="250"/>
      <c r="ACA37" s="250"/>
      <c r="ACB37" s="250"/>
      <c r="ACC37" s="250"/>
      <c r="ACD37" s="250"/>
      <c r="ACE37" s="250"/>
      <c r="ACF37" s="250"/>
      <c r="ACG37" s="250"/>
      <c r="ACH37" s="250"/>
      <c r="ACI37" s="250"/>
      <c r="ACJ37" s="250"/>
      <c r="ACK37" s="250"/>
      <c r="ACL37" s="250"/>
      <c r="ACM37" s="250"/>
      <c r="ACN37" s="250"/>
      <c r="ACO37" s="250"/>
      <c r="ACP37" s="250"/>
      <c r="ACQ37" s="250"/>
      <c r="ACR37" s="250"/>
      <c r="ACS37" s="250"/>
      <c r="ACT37" s="250"/>
      <c r="ACU37" s="250"/>
      <c r="ACV37" s="250"/>
      <c r="ACW37" s="250"/>
      <c r="ACX37" s="250"/>
      <c r="ACY37" s="250"/>
      <c r="ACZ37" s="250"/>
      <c r="ADA37" s="250"/>
      <c r="ADB37" s="250"/>
      <c r="ADC37" s="250"/>
      <c r="ADD37" s="250"/>
      <c r="ADE37" s="250"/>
      <c r="ADF37" s="250"/>
      <c r="ADG37" s="250"/>
      <c r="ADH37" s="250"/>
      <c r="ADI37" s="250"/>
      <c r="ADJ37" s="250"/>
      <c r="ADK37" s="250"/>
      <c r="ADL37" s="250"/>
      <c r="ADM37" s="250"/>
      <c r="ADN37" s="250"/>
      <c r="ADO37" s="250"/>
      <c r="ADP37" s="250"/>
      <c r="ADQ37" s="250"/>
      <c r="ADR37" s="250"/>
      <c r="ADS37" s="250"/>
      <c r="ADT37" s="250"/>
      <c r="ADU37" s="250"/>
      <c r="ADV37" s="250"/>
      <c r="ADW37" s="250"/>
      <c r="ADX37" s="250"/>
      <c r="ADY37" s="250"/>
      <c r="ADZ37" s="250"/>
      <c r="AEA37" s="250"/>
      <c r="AEB37" s="250"/>
      <c r="AEC37" s="250"/>
      <c r="AED37" s="250"/>
      <c r="AEE37" s="250"/>
      <c r="AEF37" s="250"/>
      <c r="AEG37" s="250"/>
      <c r="AEH37" s="250"/>
      <c r="AEI37" s="250"/>
      <c r="AEJ37" s="250"/>
      <c r="AEK37" s="250"/>
      <c r="AEL37" s="250"/>
      <c r="AEM37" s="250"/>
      <c r="AEN37" s="250"/>
      <c r="AEO37" s="250"/>
      <c r="AEP37" s="250"/>
      <c r="AEQ37" s="250"/>
      <c r="AER37" s="250"/>
      <c r="AES37" s="250"/>
      <c r="AET37" s="250"/>
      <c r="AEU37" s="250"/>
      <c r="AEV37" s="250"/>
      <c r="AEW37" s="250"/>
      <c r="AEX37" s="250"/>
      <c r="AEY37" s="250"/>
      <c r="AEZ37" s="250"/>
      <c r="AFA37" s="250"/>
      <c r="AFB37" s="250"/>
      <c r="AFC37" s="250"/>
      <c r="AFD37" s="250"/>
      <c r="AFE37" s="250"/>
      <c r="AFF37" s="250"/>
      <c r="AFG37" s="250"/>
      <c r="AFH37" s="250"/>
      <c r="AFI37" s="250"/>
      <c r="AFJ37" s="250"/>
      <c r="AFK37" s="250"/>
      <c r="AFL37" s="250"/>
      <c r="AFM37" s="250"/>
      <c r="AFN37" s="250"/>
      <c r="AFO37" s="250"/>
      <c r="AFP37" s="250"/>
      <c r="AFQ37" s="250"/>
      <c r="AFR37" s="250"/>
      <c r="AFS37" s="250"/>
      <c r="AFT37" s="250"/>
      <c r="AFU37" s="250"/>
      <c r="AFV37" s="250"/>
      <c r="AFW37" s="250"/>
      <c r="AFX37" s="250"/>
      <c r="AFY37" s="250"/>
      <c r="AFZ37" s="250"/>
      <c r="AGA37" s="250"/>
      <c r="AGB37" s="250"/>
      <c r="AGC37" s="279"/>
    </row>
    <row r="38" spans="1:861" ht="14.25" customHeight="1" x14ac:dyDescent="0.2">
      <c r="A38" s="367">
        <v>9829</v>
      </c>
      <c r="B38" s="167"/>
      <c r="M38" s="207" t="str">
        <f t="shared" ref="M38:M69" si="12">_xlfn.IFNA(VLOOKUP(L38,TAX,2,FALSE), "NEED FORM")</f>
        <v>NEED FORM</v>
      </c>
      <c r="W38" s="152"/>
      <c r="AB38" s="171">
        <f t="shared" si="9"/>
        <v>0</v>
      </c>
      <c r="AC38" s="144"/>
      <c r="AD38" s="284"/>
      <c r="AK38" s="144" t="s">
        <v>422</v>
      </c>
      <c r="AP38" s="321">
        <f t="shared" si="11"/>
        <v>52</v>
      </c>
    </row>
    <row r="39" spans="1:861" ht="14.25" customHeight="1" x14ac:dyDescent="0.2">
      <c r="A39" s="367">
        <v>9830</v>
      </c>
      <c r="B39" s="167"/>
      <c r="M39" s="207" t="str">
        <f t="shared" si="12"/>
        <v>NEED FORM</v>
      </c>
      <c r="W39" s="152"/>
      <c r="AB39" s="171">
        <f t="shared" si="9"/>
        <v>0</v>
      </c>
      <c r="AC39" s="144"/>
      <c r="AD39" s="284"/>
      <c r="AK39" s="144" t="s">
        <v>422</v>
      </c>
      <c r="AP39" s="321">
        <f t="shared" si="11"/>
        <v>52</v>
      </c>
    </row>
    <row r="40" spans="1:861" ht="14.25" customHeight="1" x14ac:dyDescent="0.2">
      <c r="A40" s="367">
        <v>9831</v>
      </c>
      <c r="B40" s="167"/>
      <c r="M40" s="207" t="str">
        <f t="shared" si="12"/>
        <v>NEED FORM</v>
      </c>
      <c r="W40" s="152"/>
      <c r="AB40" s="171">
        <f t="shared" si="9"/>
        <v>0</v>
      </c>
      <c r="AC40" s="144"/>
      <c r="AD40" s="284"/>
      <c r="AK40" s="144" t="s">
        <v>422</v>
      </c>
      <c r="AP40" s="321">
        <f t="shared" si="11"/>
        <v>52</v>
      </c>
    </row>
    <row r="41" spans="1:861" ht="14.25" customHeight="1" x14ac:dyDescent="0.2">
      <c r="A41" s="367">
        <v>9832</v>
      </c>
      <c r="B41" s="167"/>
      <c r="M41" s="207" t="str">
        <f t="shared" si="12"/>
        <v>NEED FORM</v>
      </c>
      <c r="W41" s="152"/>
      <c r="AB41" s="168">
        <f t="shared" si="9"/>
        <v>0</v>
      </c>
      <c r="AD41" s="284"/>
      <c r="AK41" s="144" t="s">
        <v>422</v>
      </c>
      <c r="AP41" s="321">
        <f t="shared" si="11"/>
        <v>52</v>
      </c>
    </row>
    <row r="42" spans="1:861" ht="14.25" customHeight="1" x14ac:dyDescent="0.2">
      <c r="A42" s="367">
        <v>9833</v>
      </c>
      <c r="B42" s="167"/>
      <c r="M42" s="207" t="str">
        <f t="shared" si="12"/>
        <v>NEED FORM</v>
      </c>
      <c r="W42" s="152"/>
      <c r="AB42" s="168">
        <f t="shared" si="9"/>
        <v>0</v>
      </c>
      <c r="AD42" s="284"/>
      <c r="AK42" s="144" t="s">
        <v>422</v>
      </c>
      <c r="AP42" s="321">
        <f t="shared" si="11"/>
        <v>52</v>
      </c>
    </row>
    <row r="43" spans="1:861" ht="14.25" customHeight="1" x14ac:dyDescent="0.2">
      <c r="A43" s="367">
        <v>9834</v>
      </c>
      <c r="B43" s="167"/>
      <c r="M43" s="207" t="str">
        <f t="shared" si="12"/>
        <v>NEED FORM</v>
      </c>
      <c r="W43" s="152"/>
      <c r="AB43" s="168">
        <f t="shared" si="9"/>
        <v>0</v>
      </c>
      <c r="AD43" s="284"/>
      <c r="AK43" s="144" t="s">
        <v>422</v>
      </c>
      <c r="AP43" s="321">
        <f t="shared" si="11"/>
        <v>52</v>
      </c>
    </row>
    <row r="44" spans="1:861" ht="14.25" customHeight="1" x14ac:dyDescent="0.2">
      <c r="A44" s="367">
        <v>9835</v>
      </c>
      <c r="B44" s="167"/>
      <c r="M44" s="207" t="str">
        <f t="shared" si="12"/>
        <v>NEED FORM</v>
      </c>
      <c r="W44" s="152"/>
      <c r="AB44" s="168">
        <f t="shared" si="9"/>
        <v>0</v>
      </c>
      <c r="AD44" s="284"/>
      <c r="AK44" s="144" t="s">
        <v>422</v>
      </c>
      <c r="AP44" s="321">
        <f t="shared" si="11"/>
        <v>52</v>
      </c>
    </row>
    <row r="45" spans="1:861" ht="14.25" customHeight="1" x14ac:dyDescent="0.2">
      <c r="A45" s="367">
        <v>9836</v>
      </c>
      <c r="B45" s="167"/>
      <c r="M45" s="207" t="str">
        <f t="shared" si="12"/>
        <v>NEED FORM</v>
      </c>
      <c r="W45" s="152"/>
      <c r="AB45" s="168">
        <f t="shared" si="9"/>
        <v>0</v>
      </c>
      <c r="AD45" s="284"/>
      <c r="AK45" s="144" t="s">
        <v>422</v>
      </c>
      <c r="AP45" s="321">
        <f t="shared" si="11"/>
        <v>52</v>
      </c>
    </row>
    <row r="46" spans="1:861" ht="14.25" customHeight="1" x14ac:dyDescent="0.2">
      <c r="A46" s="367">
        <v>9837</v>
      </c>
      <c r="B46" s="167"/>
      <c r="M46" s="207" t="str">
        <f t="shared" si="12"/>
        <v>NEED FORM</v>
      </c>
      <c r="W46" s="152"/>
      <c r="AB46" s="171">
        <f t="shared" si="9"/>
        <v>0</v>
      </c>
      <c r="AC46" s="144"/>
      <c r="AD46" s="284"/>
      <c r="AK46" s="144" t="s">
        <v>422</v>
      </c>
      <c r="AP46" s="321">
        <f t="shared" si="11"/>
        <v>52</v>
      </c>
    </row>
    <row r="47" spans="1:861" ht="14.25" customHeight="1" x14ac:dyDescent="0.2">
      <c r="A47" s="367">
        <v>9838</v>
      </c>
      <c r="B47" s="167"/>
      <c r="M47" s="207" t="str">
        <f t="shared" si="12"/>
        <v>NEED FORM</v>
      </c>
      <c r="W47" s="152"/>
      <c r="AB47" s="171">
        <f t="shared" si="9"/>
        <v>0</v>
      </c>
      <c r="AC47" s="144"/>
      <c r="AD47" s="284"/>
      <c r="AK47" s="144" t="s">
        <v>422</v>
      </c>
      <c r="AP47" s="321">
        <f t="shared" si="11"/>
        <v>52</v>
      </c>
    </row>
    <row r="48" spans="1:861" ht="14.25" customHeight="1" x14ac:dyDescent="0.2">
      <c r="A48" s="367">
        <v>9839</v>
      </c>
      <c r="B48" s="167"/>
      <c r="M48" s="207" t="str">
        <f t="shared" si="12"/>
        <v>NEED FORM</v>
      </c>
      <c r="W48" s="152"/>
      <c r="AB48" s="171">
        <f t="shared" si="9"/>
        <v>0</v>
      </c>
      <c r="AC48" s="144"/>
      <c r="AD48" s="284"/>
      <c r="AJ48" s="144"/>
      <c r="AK48" s="144" t="s">
        <v>422</v>
      </c>
      <c r="AP48" s="321">
        <f t="shared" si="11"/>
        <v>52</v>
      </c>
    </row>
    <row r="49" spans="1:42" ht="14.25" customHeight="1" x14ac:dyDescent="0.2">
      <c r="A49" s="367">
        <v>9840</v>
      </c>
      <c r="B49" s="167"/>
      <c r="M49" s="207" t="str">
        <f t="shared" si="12"/>
        <v>NEED FORM</v>
      </c>
      <c r="W49" s="152"/>
      <c r="AB49" s="171">
        <f t="shared" si="9"/>
        <v>0</v>
      </c>
      <c r="AC49" s="144"/>
      <c r="AD49" s="284"/>
      <c r="AJ49" s="144"/>
      <c r="AK49" s="144" t="s">
        <v>422</v>
      </c>
      <c r="AP49" s="321">
        <f t="shared" si="11"/>
        <v>52</v>
      </c>
    </row>
    <row r="50" spans="1:42" ht="14.25" customHeight="1" x14ac:dyDescent="0.2">
      <c r="A50" s="367">
        <v>9841</v>
      </c>
      <c r="B50" s="167"/>
      <c r="M50" s="207" t="str">
        <f t="shared" si="12"/>
        <v>NEED FORM</v>
      </c>
      <c r="W50" s="152"/>
      <c r="AB50" s="171">
        <f t="shared" si="9"/>
        <v>0</v>
      </c>
      <c r="AC50" s="144"/>
      <c r="AD50" s="284"/>
      <c r="AJ50" s="144"/>
      <c r="AK50" s="144" t="s">
        <v>422</v>
      </c>
      <c r="AP50" s="321">
        <f t="shared" si="11"/>
        <v>52</v>
      </c>
    </row>
    <row r="51" spans="1:42" ht="14.25" customHeight="1" x14ac:dyDescent="0.2">
      <c r="A51" s="367">
        <v>9842</v>
      </c>
      <c r="B51" s="167"/>
      <c r="M51" s="207" t="str">
        <f t="shared" si="12"/>
        <v>NEED FORM</v>
      </c>
      <c r="W51" s="152"/>
      <c r="AB51" s="171">
        <f t="shared" si="9"/>
        <v>0</v>
      </c>
      <c r="AC51" s="144"/>
      <c r="AD51" s="284"/>
      <c r="AJ51" s="144"/>
      <c r="AK51" s="144" t="s">
        <v>422</v>
      </c>
      <c r="AP51" s="321">
        <f t="shared" si="11"/>
        <v>52</v>
      </c>
    </row>
    <row r="52" spans="1:42" ht="14.25" customHeight="1" x14ac:dyDescent="0.2">
      <c r="A52" s="367">
        <v>9843</v>
      </c>
      <c r="B52" s="167"/>
      <c r="M52" s="207" t="str">
        <f t="shared" si="12"/>
        <v>NEED FORM</v>
      </c>
      <c r="W52" s="152"/>
      <c r="AB52" s="171">
        <f t="shared" si="9"/>
        <v>0</v>
      </c>
      <c r="AC52" s="144"/>
      <c r="AD52" s="284"/>
      <c r="AJ52" s="144"/>
      <c r="AK52" s="144" t="s">
        <v>422</v>
      </c>
      <c r="AP52" s="321">
        <f t="shared" si="11"/>
        <v>52</v>
      </c>
    </row>
    <row r="53" spans="1:42" ht="14.25" customHeight="1" x14ac:dyDescent="0.2">
      <c r="A53" s="367">
        <v>9844</v>
      </c>
      <c r="B53" s="167"/>
      <c r="M53" s="207" t="str">
        <f t="shared" si="12"/>
        <v>NEED FORM</v>
      </c>
      <c r="W53" s="152"/>
      <c r="AB53" s="171">
        <f t="shared" si="9"/>
        <v>0</v>
      </c>
      <c r="AC53" s="144"/>
      <c r="AD53" s="284"/>
      <c r="AJ53" s="144"/>
      <c r="AK53" s="144" t="s">
        <v>422</v>
      </c>
      <c r="AP53" s="321">
        <f t="shared" si="11"/>
        <v>52</v>
      </c>
    </row>
    <row r="54" spans="1:42" ht="14.25" customHeight="1" x14ac:dyDescent="0.2">
      <c r="A54" s="367">
        <v>9845</v>
      </c>
      <c r="B54" s="167"/>
      <c r="M54" s="207" t="str">
        <f t="shared" si="12"/>
        <v>NEED FORM</v>
      </c>
      <c r="W54" s="152"/>
      <c r="AB54" s="171">
        <f t="shared" si="9"/>
        <v>0</v>
      </c>
      <c r="AC54" s="144"/>
      <c r="AD54" s="284"/>
      <c r="AJ54" s="144"/>
      <c r="AK54" s="144" t="s">
        <v>422</v>
      </c>
      <c r="AP54" s="321">
        <f t="shared" si="11"/>
        <v>52</v>
      </c>
    </row>
    <row r="55" spans="1:42" ht="14.25" customHeight="1" x14ac:dyDescent="0.2">
      <c r="A55" s="367">
        <v>9846</v>
      </c>
      <c r="B55" s="167"/>
      <c r="M55" s="207" t="str">
        <f t="shared" si="12"/>
        <v>NEED FORM</v>
      </c>
      <c r="W55" s="152"/>
      <c r="AB55" s="171">
        <f t="shared" ref="AB55:AB86" si="13">AA55*Y55+AC55</f>
        <v>0</v>
      </c>
      <c r="AC55" s="144"/>
      <c r="AD55" s="284"/>
      <c r="AJ55" s="144"/>
      <c r="AK55" s="144" t="s">
        <v>422</v>
      </c>
      <c r="AP55" s="321">
        <f t="shared" si="11"/>
        <v>52</v>
      </c>
    </row>
    <row r="56" spans="1:42" ht="14.25" customHeight="1" x14ac:dyDescent="0.2">
      <c r="A56" s="367">
        <v>9847</v>
      </c>
      <c r="B56" s="167"/>
      <c r="M56" s="207" t="str">
        <f t="shared" si="12"/>
        <v>NEED FORM</v>
      </c>
      <c r="W56" s="152"/>
      <c r="AB56" s="171">
        <f t="shared" si="13"/>
        <v>0</v>
      </c>
      <c r="AC56" s="144"/>
      <c r="AD56" s="284"/>
      <c r="AK56" s="144" t="s">
        <v>422</v>
      </c>
      <c r="AP56" s="321">
        <f t="shared" si="11"/>
        <v>52</v>
      </c>
    </row>
    <row r="57" spans="1:42" ht="14.25" customHeight="1" x14ac:dyDescent="0.2">
      <c r="A57" s="367">
        <v>9848</v>
      </c>
      <c r="B57" s="167"/>
      <c r="M57" s="207" t="str">
        <f t="shared" si="12"/>
        <v>NEED FORM</v>
      </c>
      <c r="W57" s="152"/>
      <c r="AB57" s="171">
        <f t="shared" si="13"/>
        <v>0</v>
      </c>
      <c r="AC57" s="144"/>
      <c r="AD57" s="284"/>
      <c r="AK57" s="144" t="s">
        <v>422</v>
      </c>
      <c r="AP57" s="321">
        <f t="shared" si="11"/>
        <v>52</v>
      </c>
    </row>
    <row r="58" spans="1:42" ht="14.25" customHeight="1" x14ac:dyDescent="0.2">
      <c r="A58" s="367">
        <v>9849</v>
      </c>
      <c r="B58" s="167"/>
      <c r="M58" s="207" t="str">
        <f t="shared" si="12"/>
        <v>NEED FORM</v>
      </c>
      <c r="W58" s="152"/>
      <c r="AB58" s="171">
        <f t="shared" si="13"/>
        <v>0</v>
      </c>
      <c r="AC58" s="144"/>
      <c r="AD58" s="284"/>
      <c r="AK58" s="144" t="s">
        <v>422</v>
      </c>
      <c r="AP58" s="321">
        <f t="shared" si="11"/>
        <v>52</v>
      </c>
    </row>
    <row r="59" spans="1:42" ht="14.25" customHeight="1" x14ac:dyDescent="0.2">
      <c r="A59" s="367">
        <v>9850</v>
      </c>
      <c r="B59" s="167"/>
      <c r="M59" s="207" t="str">
        <f t="shared" si="12"/>
        <v>NEED FORM</v>
      </c>
      <c r="W59" s="152"/>
      <c r="AB59" s="171">
        <f t="shared" si="13"/>
        <v>0</v>
      </c>
      <c r="AC59" s="144"/>
      <c r="AD59" s="284"/>
      <c r="AK59" s="144" t="s">
        <v>422</v>
      </c>
      <c r="AP59" s="321">
        <f t="shared" si="11"/>
        <v>52</v>
      </c>
    </row>
    <row r="60" spans="1:42" ht="14.25" customHeight="1" x14ac:dyDescent="0.2">
      <c r="A60" s="367">
        <v>9851</v>
      </c>
      <c r="B60" s="167"/>
      <c r="M60" s="207" t="str">
        <f t="shared" si="12"/>
        <v>NEED FORM</v>
      </c>
      <c r="W60" s="152"/>
      <c r="AB60" s="171">
        <f t="shared" si="13"/>
        <v>0</v>
      </c>
      <c r="AC60" s="144"/>
      <c r="AD60" s="284"/>
      <c r="AK60" s="144" t="s">
        <v>422</v>
      </c>
      <c r="AP60" s="321">
        <f t="shared" si="11"/>
        <v>52</v>
      </c>
    </row>
    <row r="61" spans="1:42" ht="14.25" customHeight="1" x14ac:dyDescent="0.2">
      <c r="A61" s="367">
        <v>9852</v>
      </c>
      <c r="B61" s="167"/>
      <c r="M61" s="207" t="str">
        <f t="shared" si="12"/>
        <v>NEED FORM</v>
      </c>
      <c r="W61" s="152"/>
      <c r="AB61" s="168">
        <f t="shared" si="13"/>
        <v>0</v>
      </c>
      <c r="AD61" s="284"/>
      <c r="AK61" s="144" t="s">
        <v>422</v>
      </c>
      <c r="AP61" s="321">
        <f t="shared" si="11"/>
        <v>52</v>
      </c>
    </row>
    <row r="62" spans="1:42" ht="14.25" customHeight="1" x14ac:dyDescent="0.2">
      <c r="A62" s="367">
        <v>9853</v>
      </c>
      <c r="B62" s="167"/>
      <c r="M62" s="207" t="str">
        <f t="shared" si="12"/>
        <v>NEED FORM</v>
      </c>
      <c r="W62" s="152"/>
      <c r="AB62" s="168">
        <f t="shared" si="13"/>
        <v>0</v>
      </c>
      <c r="AD62" s="284"/>
      <c r="AK62" s="144" t="s">
        <v>422</v>
      </c>
      <c r="AP62" s="321">
        <f t="shared" si="11"/>
        <v>52</v>
      </c>
    </row>
    <row r="63" spans="1:42" ht="14.25" customHeight="1" x14ac:dyDescent="0.2">
      <c r="A63" s="367">
        <v>9854</v>
      </c>
      <c r="B63" s="167"/>
      <c r="M63" s="207" t="str">
        <f t="shared" si="12"/>
        <v>NEED FORM</v>
      </c>
      <c r="W63" s="152"/>
      <c r="AB63" s="168">
        <f t="shared" si="13"/>
        <v>0</v>
      </c>
      <c r="AD63" s="284"/>
      <c r="AK63" s="144" t="s">
        <v>422</v>
      </c>
      <c r="AP63" s="321">
        <f t="shared" si="11"/>
        <v>52</v>
      </c>
    </row>
    <row r="64" spans="1:42" ht="14.25" customHeight="1" x14ac:dyDescent="0.2">
      <c r="A64" s="367">
        <v>9855</v>
      </c>
      <c r="B64" s="167"/>
      <c r="M64" s="207" t="str">
        <f t="shared" si="12"/>
        <v>NEED FORM</v>
      </c>
      <c r="W64" s="152"/>
      <c r="AB64" s="168">
        <f t="shared" si="13"/>
        <v>0</v>
      </c>
      <c r="AD64" s="284"/>
      <c r="AK64" s="144" t="s">
        <v>422</v>
      </c>
      <c r="AP64" s="321">
        <f t="shared" si="11"/>
        <v>52</v>
      </c>
    </row>
    <row r="65" spans="1:42" ht="14.25" customHeight="1" x14ac:dyDescent="0.2">
      <c r="A65" s="367">
        <v>9856</v>
      </c>
      <c r="B65" s="167"/>
      <c r="M65" s="207" t="str">
        <f t="shared" si="12"/>
        <v>NEED FORM</v>
      </c>
      <c r="W65" s="152"/>
      <c r="AB65" s="168">
        <f t="shared" si="13"/>
        <v>0</v>
      </c>
      <c r="AD65" s="284"/>
      <c r="AK65" s="144" t="s">
        <v>422</v>
      </c>
      <c r="AP65" s="321">
        <f t="shared" si="11"/>
        <v>52</v>
      </c>
    </row>
    <row r="66" spans="1:42" ht="14.25" customHeight="1" x14ac:dyDescent="0.2">
      <c r="A66" s="367">
        <v>9857</v>
      </c>
      <c r="B66" s="167"/>
      <c r="M66" s="207" t="str">
        <f t="shared" si="12"/>
        <v>NEED FORM</v>
      </c>
      <c r="W66" s="152"/>
      <c r="AB66" s="171">
        <f t="shared" si="13"/>
        <v>0</v>
      </c>
      <c r="AC66" s="144"/>
      <c r="AD66" s="284"/>
      <c r="AK66" s="144" t="s">
        <v>422</v>
      </c>
      <c r="AP66" s="321">
        <f t="shared" si="11"/>
        <v>52</v>
      </c>
    </row>
    <row r="67" spans="1:42" ht="14.25" customHeight="1" x14ac:dyDescent="0.2">
      <c r="A67" s="367">
        <v>9858</v>
      </c>
      <c r="B67" s="167"/>
      <c r="M67" s="207" t="str">
        <f t="shared" si="12"/>
        <v>NEED FORM</v>
      </c>
      <c r="W67" s="152"/>
      <c r="AB67" s="171">
        <f t="shared" si="13"/>
        <v>0</v>
      </c>
      <c r="AC67" s="144"/>
      <c r="AD67" s="284"/>
      <c r="AJ67" s="144"/>
      <c r="AK67" s="144" t="s">
        <v>422</v>
      </c>
      <c r="AP67" s="321">
        <f t="shared" si="11"/>
        <v>52</v>
      </c>
    </row>
    <row r="68" spans="1:42" ht="14.25" customHeight="1" x14ac:dyDescent="0.2">
      <c r="A68" s="367">
        <v>9859</v>
      </c>
      <c r="B68" s="167"/>
      <c r="M68" s="207" t="str">
        <f t="shared" si="12"/>
        <v>NEED FORM</v>
      </c>
      <c r="W68" s="152"/>
      <c r="AB68" s="171">
        <f t="shared" si="13"/>
        <v>0</v>
      </c>
      <c r="AC68" s="144"/>
      <c r="AD68" s="284"/>
      <c r="AJ68" s="144"/>
      <c r="AK68" s="144" t="s">
        <v>422</v>
      </c>
      <c r="AP68" s="321">
        <f t="shared" si="11"/>
        <v>52</v>
      </c>
    </row>
    <row r="69" spans="1:42" ht="14.25" customHeight="1" x14ac:dyDescent="0.2">
      <c r="A69" s="367">
        <v>9860</v>
      </c>
      <c r="B69" s="167"/>
      <c r="M69" s="207" t="str">
        <f t="shared" si="12"/>
        <v>NEED FORM</v>
      </c>
      <c r="W69" s="152"/>
      <c r="AB69" s="171">
        <f t="shared" si="13"/>
        <v>0</v>
      </c>
      <c r="AC69" s="144"/>
      <c r="AD69" s="284"/>
      <c r="AJ69" s="144"/>
      <c r="AK69" s="144" t="s">
        <v>422</v>
      </c>
      <c r="AP69" s="321">
        <f t="shared" si="11"/>
        <v>52</v>
      </c>
    </row>
    <row r="70" spans="1:42" ht="14.25" customHeight="1" x14ac:dyDescent="0.2">
      <c r="A70" s="367">
        <v>9861</v>
      </c>
      <c r="B70" s="167"/>
      <c r="M70" s="207" t="str">
        <f t="shared" ref="M70:M101" si="14">_xlfn.IFNA(VLOOKUP(L70,TAX,2,FALSE), "NEED FORM")</f>
        <v>NEED FORM</v>
      </c>
      <c r="W70" s="152"/>
      <c r="AB70" s="171">
        <f t="shared" si="13"/>
        <v>0</v>
      </c>
      <c r="AC70" s="144"/>
      <c r="AD70" s="284"/>
      <c r="AJ70" s="144"/>
      <c r="AK70" s="144" t="s">
        <v>422</v>
      </c>
      <c r="AP70" s="321">
        <f t="shared" si="11"/>
        <v>52</v>
      </c>
    </row>
    <row r="71" spans="1:42" ht="14.25" customHeight="1" x14ac:dyDescent="0.2">
      <c r="A71" s="367">
        <v>9862</v>
      </c>
      <c r="B71" s="167"/>
      <c r="M71" s="207" t="str">
        <f t="shared" si="14"/>
        <v>NEED FORM</v>
      </c>
      <c r="W71" s="152"/>
      <c r="AB71" s="171">
        <f t="shared" si="13"/>
        <v>0</v>
      </c>
      <c r="AC71" s="144"/>
      <c r="AD71" s="284"/>
      <c r="AJ71" s="144"/>
      <c r="AK71" s="144" t="s">
        <v>422</v>
      </c>
      <c r="AP71" s="321">
        <f t="shared" si="11"/>
        <v>52</v>
      </c>
    </row>
    <row r="72" spans="1:42" ht="14.25" customHeight="1" x14ac:dyDescent="0.2">
      <c r="A72" s="367">
        <v>9863</v>
      </c>
      <c r="B72" s="167"/>
      <c r="M72" s="207" t="str">
        <f t="shared" si="14"/>
        <v>NEED FORM</v>
      </c>
      <c r="W72" s="152"/>
      <c r="AB72" s="171">
        <f t="shared" si="13"/>
        <v>0</v>
      </c>
      <c r="AC72" s="144"/>
      <c r="AD72" s="284"/>
      <c r="AJ72" s="144"/>
      <c r="AK72" s="144" t="s">
        <v>422</v>
      </c>
      <c r="AP72" s="321">
        <f t="shared" si="11"/>
        <v>52</v>
      </c>
    </row>
    <row r="73" spans="1:42" ht="14.25" customHeight="1" x14ac:dyDescent="0.2">
      <c r="A73" s="367">
        <v>9864</v>
      </c>
      <c r="B73" s="167"/>
      <c r="M73" s="207" t="str">
        <f t="shared" si="14"/>
        <v>NEED FORM</v>
      </c>
      <c r="W73" s="152"/>
      <c r="AB73" s="171">
        <f t="shared" si="13"/>
        <v>0</v>
      </c>
      <c r="AC73" s="144"/>
      <c r="AD73" s="284"/>
      <c r="AJ73" s="144"/>
      <c r="AK73" s="144" t="s">
        <v>422</v>
      </c>
      <c r="AP73" s="321">
        <f t="shared" si="11"/>
        <v>52</v>
      </c>
    </row>
    <row r="74" spans="1:42" ht="14.25" customHeight="1" x14ac:dyDescent="0.2">
      <c r="A74" s="367">
        <v>9865</v>
      </c>
      <c r="B74" s="167"/>
      <c r="M74" s="207" t="str">
        <f t="shared" si="14"/>
        <v>NEED FORM</v>
      </c>
      <c r="W74" s="152"/>
      <c r="AB74" s="171">
        <f t="shared" si="13"/>
        <v>0</v>
      </c>
      <c r="AC74" s="144"/>
      <c r="AD74" s="284"/>
      <c r="AJ74" s="144"/>
      <c r="AK74" s="144" t="s">
        <v>422</v>
      </c>
      <c r="AP74" s="321">
        <f t="shared" si="11"/>
        <v>52</v>
      </c>
    </row>
    <row r="75" spans="1:42" ht="14.25" customHeight="1" x14ac:dyDescent="0.2">
      <c r="A75" s="367">
        <v>9866</v>
      </c>
      <c r="B75" s="167"/>
      <c r="M75" s="207" t="str">
        <f t="shared" si="14"/>
        <v>NEED FORM</v>
      </c>
      <c r="W75" s="152"/>
      <c r="AB75" s="171">
        <f t="shared" si="13"/>
        <v>0</v>
      </c>
      <c r="AC75" s="144"/>
      <c r="AD75" s="284"/>
      <c r="AK75" s="144" t="s">
        <v>422</v>
      </c>
      <c r="AP75" s="321">
        <f t="shared" si="11"/>
        <v>52</v>
      </c>
    </row>
    <row r="76" spans="1:42" ht="14.25" customHeight="1" x14ac:dyDescent="0.2">
      <c r="A76" s="367">
        <v>9867</v>
      </c>
      <c r="B76" s="167"/>
      <c r="M76" s="207" t="str">
        <f t="shared" si="14"/>
        <v>NEED FORM</v>
      </c>
      <c r="W76" s="152"/>
      <c r="AB76" s="171">
        <f t="shared" si="13"/>
        <v>0</v>
      </c>
      <c r="AC76" s="144"/>
      <c r="AD76" s="284"/>
      <c r="AK76" s="144" t="s">
        <v>422</v>
      </c>
      <c r="AP76" s="321">
        <f t="shared" si="11"/>
        <v>52</v>
      </c>
    </row>
    <row r="77" spans="1:42" ht="14.25" customHeight="1" x14ac:dyDescent="0.2">
      <c r="A77" s="367">
        <v>9868</v>
      </c>
      <c r="B77" s="167"/>
      <c r="M77" s="207" t="str">
        <f t="shared" si="14"/>
        <v>NEED FORM</v>
      </c>
      <c r="W77" s="152"/>
      <c r="AB77" s="171">
        <f t="shared" si="13"/>
        <v>0</v>
      </c>
      <c r="AC77" s="144"/>
      <c r="AD77" s="284"/>
      <c r="AK77" s="144" t="s">
        <v>422</v>
      </c>
      <c r="AP77" s="321">
        <f t="shared" si="11"/>
        <v>52</v>
      </c>
    </row>
    <row r="78" spans="1:42" ht="14.25" customHeight="1" x14ac:dyDescent="0.2">
      <c r="A78" s="367">
        <v>9869</v>
      </c>
      <c r="B78" s="167"/>
      <c r="M78" s="207" t="str">
        <f t="shared" si="14"/>
        <v>NEED FORM</v>
      </c>
      <c r="W78" s="152"/>
      <c r="AB78" s="171">
        <f t="shared" si="13"/>
        <v>0</v>
      </c>
      <c r="AC78" s="144"/>
      <c r="AD78" s="284"/>
      <c r="AK78" s="144" t="s">
        <v>422</v>
      </c>
      <c r="AP78" s="321">
        <f t="shared" si="11"/>
        <v>52</v>
      </c>
    </row>
    <row r="79" spans="1:42" ht="14.25" customHeight="1" x14ac:dyDescent="0.2">
      <c r="A79" s="367">
        <v>9870</v>
      </c>
      <c r="B79" s="167"/>
      <c r="M79" s="207" t="str">
        <f t="shared" si="14"/>
        <v>NEED FORM</v>
      </c>
      <c r="W79" s="152"/>
      <c r="AB79" s="171">
        <f t="shared" si="13"/>
        <v>0</v>
      </c>
      <c r="AC79" s="144"/>
      <c r="AD79" s="284"/>
      <c r="AK79" s="144" t="s">
        <v>422</v>
      </c>
      <c r="AP79" s="321">
        <f t="shared" si="11"/>
        <v>52</v>
      </c>
    </row>
    <row r="80" spans="1:42" ht="14.25" customHeight="1" x14ac:dyDescent="0.2">
      <c r="A80" s="367">
        <v>9871</v>
      </c>
      <c r="B80" s="167"/>
      <c r="M80" s="207" t="str">
        <f t="shared" si="14"/>
        <v>NEED FORM</v>
      </c>
      <c r="W80" s="152"/>
      <c r="AB80" s="168">
        <f t="shared" si="13"/>
        <v>0</v>
      </c>
      <c r="AD80" s="284"/>
      <c r="AK80" s="144" t="s">
        <v>422</v>
      </c>
      <c r="AP80" s="321">
        <f t="shared" si="11"/>
        <v>52</v>
      </c>
    </row>
    <row r="81" spans="1:42" ht="14.25" customHeight="1" x14ac:dyDescent="0.2">
      <c r="A81" s="367">
        <v>9872</v>
      </c>
      <c r="B81" s="167"/>
      <c r="M81" s="207" t="str">
        <f t="shared" si="14"/>
        <v>NEED FORM</v>
      </c>
      <c r="W81" s="152"/>
      <c r="AB81" s="168">
        <f t="shared" si="13"/>
        <v>0</v>
      </c>
      <c r="AD81" s="284"/>
      <c r="AK81" s="144" t="s">
        <v>422</v>
      </c>
      <c r="AP81" s="321">
        <f t="shared" si="11"/>
        <v>52</v>
      </c>
    </row>
    <row r="82" spans="1:42" ht="14.25" customHeight="1" x14ac:dyDescent="0.2">
      <c r="A82" s="367">
        <v>9873</v>
      </c>
      <c r="B82" s="167"/>
      <c r="M82" s="207" t="str">
        <f t="shared" si="14"/>
        <v>NEED FORM</v>
      </c>
      <c r="W82" s="152"/>
      <c r="AB82" s="168">
        <f t="shared" si="13"/>
        <v>0</v>
      </c>
      <c r="AD82" s="284"/>
      <c r="AK82" s="144" t="s">
        <v>422</v>
      </c>
      <c r="AP82" s="321">
        <f t="shared" si="11"/>
        <v>52</v>
      </c>
    </row>
    <row r="83" spans="1:42" ht="14.25" customHeight="1" x14ac:dyDescent="0.2">
      <c r="A83" s="367">
        <v>9874</v>
      </c>
      <c r="B83" s="167"/>
      <c r="M83" s="207" t="str">
        <f t="shared" si="14"/>
        <v>NEED FORM</v>
      </c>
      <c r="W83" s="152"/>
      <c r="AB83" s="168">
        <f t="shared" si="13"/>
        <v>0</v>
      </c>
      <c r="AD83" s="284"/>
      <c r="AK83" s="144" t="s">
        <v>422</v>
      </c>
      <c r="AP83" s="321">
        <f t="shared" si="11"/>
        <v>52</v>
      </c>
    </row>
    <row r="84" spans="1:42" ht="14.25" customHeight="1" x14ac:dyDescent="0.2">
      <c r="A84" s="367">
        <v>9875</v>
      </c>
      <c r="B84" s="167"/>
      <c r="M84" s="207" t="str">
        <f t="shared" si="14"/>
        <v>NEED FORM</v>
      </c>
      <c r="W84" s="152"/>
      <c r="AB84" s="168">
        <f t="shared" si="13"/>
        <v>0</v>
      </c>
      <c r="AD84" s="284"/>
      <c r="AK84" s="144" t="s">
        <v>422</v>
      </c>
      <c r="AP84" s="321">
        <f t="shared" si="11"/>
        <v>52</v>
      </c>
    </row>
    <row r="85" spans="1:42" ht="14.25" customHeight="1" x14ac:dyDescent="0.2">
      <c r="A85" s="367">
        <v>9876</v>
      </c>
      <c r="B85" s="167"/>
      <c r="M85" s="207" t="str">
        <f t="shared" si="14"/>
        <v>NEED FORM</v>
      </c>
      <c r="W85" s="152"/>
      <c r="AB85" s="171">
        <f t="shared" si="13"/>
        <v>0</v>
      </c>
      <c r="AC85" s="144"/>
      <c r="AD85" s="284"/>
      <c r="AK85" s="144" t="s">
        <v>422</v>
      </c>
      <c r="AP85" s="321">
        <f t="shared" si="11"/>
        <v>52</v>
      </c>
    </row>
    <row r="86" spans="1:42" ht="14.25" customHeight="1" x14ac:dyDescent="0.2">
      <c r="A86" s="367">
        <v>9877</v>
      </c>
      <c r="B86" s="167"/>
      <c r="M86" s="207" t="str">
        <f t="shared" si="14"/>
        <v>NEED FORM</v>
      </c>
      <c r="W86" s="152"/>
      <c r="AB86" s="171">
        <f t="shared" si="13"/>
        <v>0</v>
      </c>
      <c r="AC86" s="144"/>
      <c r="AD86" s="284"/>
      <c r="AK86" s="144" t="s">
        <v>422</v>
      </c>
      <c r="AP86" s="321">
        <f t="shared" si="11"/>
        <v>52</v>
      </c>
    </row>
    <row r="87" spans="1:42" ht="14.25" customHeight="1" x14ac:dyDescent="0.2">
      <c r="A87" s="367">
        <v>9878</v>
      </c>
      <c r="B87" s="167"/>
      <c r="M87" s="207" t="str">
        <f t="shared" si="14"/>
        <v>NEED FORM</v>
      </c>
      <c r="W87" s="152"/>
      <c r="AB87" s="171">
        <f t="shared" ref="AB87:AB118" si="15">AA87*Y87+AC87</f>
        <v>0</v>
      </c>
      <c r="AC87" s="144"/>
      <c r="AD87" s="284"/>
      <c r="AK87" s="144" t="s">
        <v>422</v>
      </c>
      <c r="AP87" s="321">
        <f t="shared" si="11"/>
        <v>52</v>
      </c>
    </row>
    <row r="88" spans="1:42" ht="14.25" customHeight="1" x14ac:dyDescent="0.2">
      <c r="A88" s="367">
        <v>9879</v>
      </c>
      <c r="B88" s="167"/>
      <c r="M88" s="207" t="str">
        <f t="shared" si="14"/>
        <v>NEED FORM</v>
      </c>
      <c r="W88" s="152"/>
      <c r="AB88" s="171">
        <f t="shared" si="15"/>
        <v>0</v>
      </c>
      <c r="AC88" s="144"/>
      <c r="AD88" s="284"/>
      <c r="AJ88" s="144"/>
      <c r="AK88" s="144" t="s">
        <v>422</v>
      </c>
      <c r="AP88" s="321">
        <f t="shared" si="11"/>
        <v>52</v>
      </c>
    </row>
    <row r="89" spans="1:42" ht="14.25" customHeight="1" x14ac:dyDescent="0.2">
      <c r="A89" s="367">
        <v>9880</v>
      </c>
      <c r="B89" s="167"/>
      <c r="M89" s="207" t="str">
        <f t="shared" si="14"/>
        <v>NEED FORM</v>
      </c>
      <c r="W89" s="152"/>
      <c r="AB89" s="171">
        <f t="shared" si="15"/>
        <v>0</v>
      </c>
      <c r="AC89" s="144"/>
      <c r="AD89" s="284"/>
      <c r="AJ89" s="144"/>
      <c r="AK89" s="144" t="s">
        <v>422</v>
      </c>
      <c r="AP89" s="321">
        <f t="shared" si="11"/>
        <v>52</v>
      </c>
    </row>
    <row r="90" spans="1:42" ht="14.25" customHeight="1" x14ac:dyDescent="0.2">
      <c r="A90" s="367">
        <v>9881</v>
      </c>
      <c r="B90" s="167"/>
      <c r="M90" s="207" t="str">
        <f t="shared" si="14"/>
        <v>NEED FORM</v>
      </c>
      <c r="W90" s="152"/>
      <c r="AB90" s="171">
        <f t="shared" si="15"/>
        <v>0</v>
      </c>
      <c r="AC90" s="144"/>
      <c r="AD90" s="284"/>
      <c r="AJ90" s="144"/>
      <c r="AK90" s="144" t="s">
        <v>422</v>
      </c>
      <c r="AP90" s="321">
        <f t="shared" si="11"/>
        <v>52</v>
      </c>
    </row>
    <row r="91" spans="1:42" ht="14.25" customHeight="1" x14ac:dyDescent="0.2">
      <c r="A91" s="367">
        <v>9882</v>
      </c>
      <c r="B91" s="167"/>
      <c r="M91" s="207" t="str">
        <f t="shared" si="14"/>
        <v>NEED FORM</v>
      </c>
      <c r="W91" s="152"/>
      <c r="AB91" s="171">
        <f t="shared" si="15"/>
        <v>0</v>
      </c>
      <c r="AC91" s="144"/>
      <c r="AD91" s="284"/>
      <c r="AJ91" s="144"/>
      <c r="AK91" s="144" t="s">
        <v>422</v>
      </c>
      <c r="AP91" s="321">
        <f t="shared" si="11"/>
        <v>52</v>
      </c>
    </row>
    <row r="92" spans="1:42" ht="14.25" customHeight="1" x14ac:dyDescent="0.2">
      <c r="A92" s="367">
        <v>9883</v>
      </c>
      <c r="B92" s="167"/>
      <c r="M92" s="207" t="str">
        <f t="shared" si="14"/>
        <v>NEED FORM</v>
      </c>
      <c r="W92" s="152"/>
      <c r="AB92" s="171">
        <f t="shared" si="15"/>
        <v>0</v>
      </c>
      <c r="AC92" s="144"/>
      <c r="AD92" s="284"/>
      <c r="AJ92" s="144"/>
      <c r="AK92" s="144" t="s">
        <v>422</v>
      </c>
      <c r="AP92" s="321">
        <f t="shared" si="11"/>
        <v>52</v>
      </c>
    </row>
    <row r="93" spans="1:42" ht="14.25" customHeight="1" x14ac:dyDescent="0.2">
      <c r="A93" s="367">
        <v>9884</v>
      </c>
      <c r="B93" s="167"/>
      <c r="M93" s="207" t="str">
        <f t="shared" si="14"/>
        <v>NEED FORM</v>
      </c>
      <c r="W93" s="152"/>
      <c r="AB93" s="171">
        <f t="shared" si="15"/>
        <v>0</v>
      </c>
      <c r="AC93" s="144"/>
      <c r="AD93" s="284"/>
      <c r="AJ93" s="144"/>
      <c r="AK93" s="144" t="s">
        <v>422</v>
      </c>
      <c r="AP93" s="321">
        <f t="shared" si="11"/>
        <v>52</v>
      </c>
    </row>
    <row r="94" spans="1:42" ht="14.25" customHeight="1" x14ac:dyDescent="0.2">
      <c r="A94" s="367">
        <v>9885</v>
      </c>
      <c r="B94" s="167"/>
      <c r="M94" s="207" t="str">
        <f t="shared" si="14"/>
        <v>NEED FORM</v>
      </c>
      <c r="W94" s="152"/>
      <c r="AB94" s="171">
        <f t="shared" si="15"/>
        <v>0</v>
      </c>
      <c r="AC94" s="144"/>
      <c r="AD94" s="284"/>
      <c r="AJ94" s="144"/>
      <c r="AK94" s="144" t="s">
        <v>422</v>
      </c>
      <c r="AP94" s="321">
        <f t="shared" si="11"/>
        <v>52</v>
      </c>
    </row>
    <row r="95" spans="1:42" ht="14.25" customHeight="1" x14ac:dyDescent="0.2">
      <c r="A95" s="367">
        <v>9886</v>
      </c>
      <c r="B95" s="167"/>
      <c r="M95" s="207" t="str">
        <f t="shared" si="14"/>
        <v>NEED FORM</v>
      </c>
      <c r="W95" s="152"/>
      <c r="AB95" s="171">
        <f t="shared" si="15"/>
        <v>0</v>
      </c>
      <c r="AC95" s="144"/>
      <c r="AD95" s="284"/>
      <c r="AJ95" s="144"/>
      <c r="AK95" s="144" t="s">
        <v>422</v>
      </c>
      <c r="AP95" s="321">
        <f t="shared" si="11"/>
        <v>52</v>
      </c>
    </row>
    <row r="96" spans="1:42" ht="14.25" customHeight="1" x14ac:dyDescent="0.2">
      <c r="A96" s="367">
        <v>9887</v>
      </c>
      <c r="B96" s="167"/>
      <c r="M96" s="207" t="str">
        <f t="shared" si="14"/>
        <v>NEED FORM</v>
      </c>
      <c r="W96" s="152"/>
      <c r="AB96" s="171">
        <f t="shared" si="15"/>
        <v>0</v>
      </c>
      <c r="AC96" s="144"/>
      <c r="AD96" s="284"/>
      <c r="AK96" s="144" t="s">
        <v>422</v>
      </c>
      <c r="AP96" s="321">
        <f t="shared" ref="AP96:AP159" si="16">_xlfn.ISOWEEKNUM(C96)</f>
        <v>52</v>
      </c>
    </row>
    <row r="97" spans="1:42" ht="14.25" customHeight="1" x14ac:dyDescent="0.2">
      <c r="A97" s="367">
        <v>9888</v>
      </c>
      <c r="B97" s="167"/>
      <c r="M97" s="207" t="str">
        <f t="shared" si="14"/>
        <v>NEED FORM</v>
      </c>
      <c r="W97" s="152"/>
      <c r="AB97" s="171">
        <f t="shared" si="15"/>
        <v>0</v>
      </c>
      <c r="AC97" s="144"/>
      <c r="AD97" s="284"/>
      <c r="AK97" s="144" t="s">
        <v>422</v>
      </c>
      <c r="AP97" s="321">
        <f t="shared" si="16"/>
        <v>52</v>
      </c>
    </row>
    <row r="98" spans="1:42" ht="14.25" customHeight="1" x14ac:dyDescent="0.2">
      <c r="A98" s="367">
        <v>9889</v>
      </c>
      <c r="B98" s="167"/>
      <c r="M98" s="207" t="str">
        <f t="shared" si="14"/>
        <v>NEED FORM</v>
      </c>
      <c r="W98" s="152"/>
      <c r="AB98" s="171">
        <f t="shared" si="15"/>
        <v>0</v>
      </c>
      <c r="AC98" s="144"/>
      <c r="AD98" s="284"/>
      <c r="AK98" s="144" t="s">
        <v>422</v>
      </c>
      <c r="AP98" s="321">
        <f t="shared" si="16"/>
        <v>52</v>
      </c>
    </row>
    <row r="99" spans="1:42" ht="14.25" customHeight="1" x14ac:dyDescent="0.2">
      <c r="A99" s="367">
        <v>9890</v>
      </c>
      <c r="B99" s="167"/>
      <c r="M99" s="207" t="str">
        <f t="shared" si="14"/>
        <v>NEED FORM</v>
      </c>
      <c r="W99" s="152"/>
      <c r="AB99" s="171">
        <f t="shared" si="15"/>
        <v>0</v>
      </c>
      <c r="AC99" s="144"/>
      <c r="AD99" s="284"/>
      <c r="AK99" s="144" t="s">
        <v>422</v>
      </c>
      <c r="AP99" s="321">
        <f t="shared" si="16"/>
        <v>52</v>
      </c>
    </row>
    <row r="100" spans="1:42" ht="14.25" customHeight="1" x14ac:dyDescent="0.2">
      <c r="A100" s="367">
        <v>9891</v>
      </c>
      <c r="B100" s="167"/>
      <c r="M100" s="207" t="str">
        <f t="shared" si="14"/>
        <v>NEED FORM</v>
      </c>
      <c r="W100" s="152"/>
      <c r="AB100" s="171">
        <f t="shared" si="15"/>
        <v>0</v>
      </c>
      <c r="AC100" s="144"/>
      <c r="AD100" s="284"/>
      <c r="AK100" s="144" t="s">
        <v>422</v>
      </c>
      <c r="AP100" s="321">
        <f t="shared" si="16"/>
        <v>52</v>
      </c>
    </row>
    <row r="101" spans="1:42" ht="14.25" customHeight="1" x14ac:dyDescent="0.2">
      <c r="A101" s="367">
        <v>9892</v>
      </c>
      <c r="B101" s="167"/>
      <c r="M101" s="207" t="str">
        <f t="shared" si="14"/>
        <v>NEED FORM</v>
      </c>
      <c r="W101" s="152"/>
      <c r="AB101" s="168">
        <f t="shared" si="15"/>
        <v>0</v>
      </c>
      <c r="AD101" s="284"/>
      <c r="AK101" s="144" t="s">
        <v>422</v>
      </c>
      <c r="AP101" s="321">
        <f t="shared" si="16"/>
        <v>52</v>
      </c>
    </row>
    <row r="102" spans="1:42" ht="14.25" customHeight="1" x14ac:dyDescent="0.2">
      <c r="A102" s="367">
        <v>9893</v>
      </c>
      <c r="B102" s="167"/>
      <c r="M102" s="207" t="str">
        <f t="shared" ref="M102:M133" si="17">_xlfn.IFNA(VLOOKUP(L102,TAX,2,FALSE), "NEED FORM")</f>
        <v>NEED FORM</v>
      </c>
      <c r="W102" s="152"/>
      <c r="AB102" s="168">
        <f t="shared" si="15"/>
        <v>0</v>
      </c>
      <c r="AD102" s="284"/>
      <c r="AK102" s="144" t="s">
        <v>422</v>
      </c>
      <c r="AP102" s="321">
        <f t="shared" si="16"/>
        <v>52</v>
      </c>
    </row>
    <row r="103" spans="1:42" ht="14.25" customHeight="1" x14ac:dyDescent="0.2">
      <c r="A103" s="367">
        <v>9894</v>
      </c>
      <c r="B103" s="167"/>
      <c r="M103" s="207" t="str">
        <f t="shared" si="17"/>
        <v>NEED FORM</v>
      </c>
      <c r="W103" s="152"/>
      <c r="AB103" s="168">
        <f t="shared" si="15"/>
        <v>0</v>
      </c>
      <c r="AD103" s="284"/>
      <c r="AK103" s="144" t="s">
        <v>422</v>
      </c>
      <c r="AP103" s="321">
        <f t="shared" si="16"/>
        <v>52</v>
      </c>
    </row>
    <row r="104" spans="1:42" ht="14.25" customHeight="1" x14ac:dyDescent="0.2">
      <c r="A104" s="367">
        <v>9895</v>
      </c>
      <c r="B104" s="167"/>
      <c r="M104" s="207" t="str">
        <f t="shared" si="17"/>
        <v>NEED FORM</v>
      </c>
      <c r="W104" s="152"/>
      <c r="AB104" s="168">
        <f t="shared" si="15"/>
        <v>0</v>
      </c>
      <c r="AD104" s="284"/>
      <c r="AK104" s="144" t="s">
        <v>422</v>
      </c>
      <c r="AP104" s="321">
        <f t="shared" si="16"/>
        <v>52</v>
      </c>
    </row>
    <row r="105" spans="1:42" ht="14.25" customHeight="1" x14ac:dyDescent="0.2">
      <c r="A105" s="367">
        <v>9896</v>
      </c>
      <c r="B105" s="167"/>
      <c r="M105" s="207" t="str">
        <f t="shared" si="17"/>
        <v>NEED FORM</v>
      </c>
      <c r="W105" s="152"/>
      <c r="AB105" s="168">
        <f t="shared" si="15"/>
        <v>0</v>
      </c>
      <c r="AD105" s="284"/>
      <c r="AK105" s="144" t="s">
        <v>422</v>
      </c>
      <c r="AP105" s="321">
        <f t="shared" si="16"/>
        <v>52</v>
      </c>
    </row>
    <row r="106" spans="1:42" ht="14.25" customHeight="1" x14ac:dyDescent="0.2">
      <c r="A106" s="367">
        <v>9897</v>
      </c>
      <c r="B106" s="167"/>
      <c r="M106" s="207" t="str">
        <f t="shared" si="17"/>
        <v>NEED FORM</v>
      </c>
      <c r="W106" s="152"/>
      <c r="AB106" s="168">
        <f t="shared" si="15"/>
        <v>0</v>
      </c>
      <c r="AD106" s="284"/>
      <c r="AK106" s="144" t="s">
        <v>422</v>
      </c>
      <c r="AP106" s="321">
        <f t="shared" si="16"/>
        <v>52</v>
      </c>
    </row>
    <row r="107" spans="1:42" ht="14.25" customHeight="1" x14ac:dyDescent="0.2">
      <c r="A107" s="367">
        <v>9898</v>
      </c>
      <c r="B107" s="167"/>
      <c r="M107" s="207" t="str">
        <f t="shared" si="17"/>
        <v>NEED FORM</v>
      </c>
      <c r="W107" s="152"/>
      <c r="AB107" s="171">
        <f t="shared" si="15"/>
        <v>0</v>
      </c>
      <c r="AC107" s="144"/>
      <c r="AD107" s="284"/>
      <c r="AJ107" s="144"/>
      <c r="AK107" s="144" t="s">
        <v>422</v>
      </c>
      <c r="AP107" s="321">
        <f t="shared" si="16"/>
        <v>52</v>
      </c>
    </row>
    <row r="108" spans="1:42" ht="14.25" customHeight="1" x14ac:dyDescent="0.2">
      <c r="A108" s="367">
        <v>9899</v>
      </c>
      <c r="B108" s="167"/>
      <c r="M108" s="207" t="str">
        <f t="shared" si="17"/>
        <v>NEED FORM</v>
      </c>
      <c r="W108" s="152"/>
      <c r="AB108" s="171">
        <f t="shared" si="15"/>
        <v>0</v>
      </c>
      <c r="AC108" s="144"/>
      <c r="AD108" s="284"/>
      <c r="AJ108" s="144"/>
      <c r="AK108" s="144" t="s">
        <v>422</v>
      </c>
      <c r="AP108" s="321">
        <f t="shared" si="16"/>
        <v>52</v>
      </c>
    </row>
    <row r="109" spans="1:42" ht="14.25" customHeight="1" x14ac:dyDescent="0.2">
      <c r="A109" s="367">
        <v>9900</v>
      </c>
      <c r="B109" s="167"/>
      <c r="M109" s="207" t="str">
        <f t="shared" si="17"/>
        <v>NEED FORM</v>
      </c>
      <c r="W109" s="152"/>
      <c r="AB109" s="171">
        <f t="shared" si="15"/>
        <v>0</v>
      </c>
      <c r="AC109" s="144"/>
      <c r="AD109" s="284"/>
      <c r="AJ109" s="144"/>
      <c r="AK109" s="144" t="s">
        <v>422</v>
      </c>
      <c r="AP109" s="321">
        <f t="shared" si="16"/>
        <v>52</v>
      </c>
    </row>
    <row r="110" spans="1:42" ht="14.25" customHeight="1" x14ac:dyDescent="0.2">
      <c r="A110" s="367">
        <v>9901</v>
      </c>
      <c r="B110" s="167"/>
      <c r="M110" s="207" t="str">
        <f t="shared" si="17"/>
        <v>NEED FORM</v>
      </c>
      <c r="W110" s="152"/>
      <c r="AB110" s="171">
        <f t="shared" si="15"/>
        <v>0</v>
      </c>
      <c r="AC110" s="144"/>
      <c r="AD110" s="284"/>
      <c r="AJ110" s="144"/>
      <c r="AK110" s="144" t="s">
        <v>422</v>
      </c>
      <c r="AP110" s="321">
        <f t="shared" si="16"/>
        <v>52</v>
      </c>
    </row>
    <row r="111" spans="1:42" ht="14.25" customHeight="1" x14ac:dyDescent="0.2">
      <c r="A111" s="367">
        <v>9902</v>
      </c>
      <c r="B111" s="167"/>
      <c r="M111" s="207" t="str">
        <f t="shared" si="17"/>
        <v>NEED FORM</v>
      </c>
      <c r="W111" s="152"/>
      <c r="AB111" s="171">
        <f t="shared" si="15"/>
        <v>0</v>
      </c>
      <c r="AC111" s="144"/>
      <c r="AD111" s="284"/>
      <c r="AJ111" s="144"/>
      <c r="AK111" s="144" t="s">
        <v>422</v>
      </c>
      <c r="AP111" s="321">
        <f t="shared" si="16"/>
        <v>52</v>
      </c>
    </row>
    <row r="112" spans="1:42" ht="14.25" customHeight="1" x14ac:dyDescent="0.2">
      <c r="A112" s="367">
        <v>9903</v>
      </c>
      <c r="B112" s="167"/>
      <c r="M112" s="207" t="str">
        <f t="shared" si="17"/>
        <v>NEED FORM</v>
      </c>
      <c r="W112" s="152"/>
      <c r="AB112" s="171">
        <f t="shared" si="15"/>
        <v>0</v>
      </c>
      <c r="AC112" s="144"/>
      <c r="AD112" s="284"/>
      <c r="AJ112" s="144"/>
      <c r="AK112" s="144" t="s">
        <v>422</v>
      </c>
      <c r="AP112" s="321">
        <f t="shared" si="16"/>
        <v>52</v>
      </c>
    </row>
    <row r="113" spans="1:42" ht="14.25" customHeight="1" x14ac:dyDescent="0.2">
      <c r="A113" s="367">
        <v>9904</v>
      </c>
      <c r="B113" s="167"/>
      <c r="M113" s="207" t="str">
        <f t="shared" si="17"/>
        <v>NEED FORM</v>
      </c>
      <c r="W113" s="152"/>
      <c r="AB113" s="171">
        <f t="shared" si="15"/>
        <v>0</v>
      </c>
      <c r="AC113" s="144"/>
      <c r="AD113" s="284"/>
      <c r="AJ113" s="144"/>
      <c r="AK113" s="144" t="s">
        <v>422</v>
      </c>
      <c r="AP113" s="321">
        <f t="shared" si="16"/>
        <v>52</v>
      </c>
    </row>
    <row r="114" spans="1:42" ht="14.25" customHeight="1" x14ac:dyDescent="0.2">
      <c r="A114" s="367">
        <v>9905</v>
      </c>
      <c r="B114" s="167"/>
      <c r="M114" s="207" t="str">
        <f t="shared" si="17"/>
        <v>NEED FORM</v>
      </c>
      <c r="W114" s="152"/>
      <c r="AB114" s="171">
        <f t="shared" si="15"/>
        <v>0</v>
      </c>
      <c r="AC114" s="144"/>
      <c r="AD114" s="284"/>
      <c r="AK114" s="144" t="s">
        <v>422</v>
      </c>
      <c r="AP114" s="321">
        <f t="shared" si="16"/>
        <v>52</v>
      </c>
    </row>
    <row r="115" spans="1:42" ht="14.25" customHeight="1" x14ac:dyDescent="0.2">
      <c r="A115" s="367">
        <v>9906</v>
      </c>
      <c r="B115" s="167"/>
      <c r="M115" s="207" t="str">
        <f t="shared" si="17"/>
        <v>NEED FORM</v>
      </c>
      <c r="W115" s="152"/>
      <c r="AB115" s="171">
        <f t="shared" si="15"/>
        <v>0</v>
      </c>
      <c r="AC115" s="144"/>
      <c r="AD115" s="284"/>
      <c r="AK115" s="144" t="s">
        <v>422</v>
      </c>
      <c r="AP115" s="321">
        <f t="shared" si="16"/>
        <v>52</v>
      </c>
    </row>
    <row r="116" spans="1:42" ht="14.25" customHeight="1" x14ac:dyDescent="0.2">
      <c r="A116" s="367">
        <v>9907</v>
      </c>
      <c r="B116" s="167"/>
      <c r="M116" s="207" t="str">
        <f t="shared" si="17"/>
        <v>NEED FORM</v>
      </c>
      <c r="W116" s="152"/>
      <c r="AB116" s="171">
        <f t="shared" si="15"/>
        <v>0</v>
      </c>
      <c r="AC116" s="144"/>
      <c r="AD116" s="284"/>
      <c r="AK116" s="144" t="s">
        <v>422</v>
      </c>
      <c r="AP116" s="321">
        <f t="shared" si="16"/>
        <v>52</v>
      </c>
    </row>
    <row r="117" spans="1:42" ht="14.25" customHeight="1" x14ac:dyDescent="0.2">
      <c r="A117" s="367">
        <v>9908</v>
      </c>
      <c r="B117" s="167"/>
      <c r="M117" s="207" t="str">
        <f t="shared" si="17"/>
        <v>NEED FORM</v>
      </c>
      <c r="W117" s="152"/>
      <c r="AB117" s="171">
        <f t="shared" si="15"/>
        <v>0</v>
      </c>
      <c r="AC117" s="144"/>
      <c r="AD117" s="284"/>
      <c r="AK117" s="144" t="s">
        <v>422</v>
      </c>
      <c r="AP117" s="321">
        <f t="shared" si="16"/>
        <v>52</v>
      </c>
    </row>
    <row r="118" spans="1:42" ht="14.25" customHeight="1" x14ac:dyDescent="0.2">
      <c r="A118" s="367">
        <v>9909</v>
      </c>
      <c r="B118" s="167"/>
      <c r="M118" s="207" t="str">
        <f t="shared" si="17"/>
        <v>NEED FORM</v>
      </c>
      <c r="W118" s="152"/>
      <c r="AB118" s="171">
        <f t="shared" si="15"/>
        <v>0</v>
      </c>
      <c r="AC118" s="144"/>
      <c r="AD118" s="284"/>
      <c r="AK118" s="144" t="s">
        <v>422</v>
      </c>
      <c r="AP118" s="321">
        <f t="shared" si="16"/>
        <v>52</v>
      </c>
    </row>
    <row r="119" spans="1:42" ht="14.25" customHeight="1" x14ac:dyDescent="0.2">
      <c r="A119" s="367">
        <v>9910</v>
      </c>
      <c r="B119" s="167"/>
      <c r="M119" s="207" t="str">
        <f t="shared" si="17"/>
        <v>NEED FORM</v>
      </c>
      <c r="W119" s="152"/>
      <c r="AB119" s="168">
        <f t="shared" ref="AB119:AB150" si="18">AA119*Y119+AC119</f>
        <v>0</v>
      </c>
      <c r="AD119" s="284"/>
      <c r="AK119" s="144" t="s">
        <v>422</v>
      </c>
      <c r="AP119" s="321">
        <f t="shared" si="16"/>
        <v>52</v>
      </c>
    </row>
    <row r="120" spans="1:42" ht="14.25" customHeight="1" x14ac:dyDescent="0.2">
      <c r="A120" s="367">
        <v>9911</v>
      </c>
      <c r="B120" s="167"/>
      <c r="M120" s="207" t="str">
        <f t="shared" si="17"/>
        <v>NEED FORM</v>
      </c>
      <c r="W120" s="152"/>
      <c r="AB120" s="168">
        <f t="shared" si="18"/>
        <v>0</v>
      </c>
      <c r="AD120" s="284"/>
      <c r="AK120" s="144" t="s">
        <v>422</v>
      </c>
      <c r="AP120" s="321">
        <f t="shared" si="16"/>
        <v>52</v>
      </c>
    </row>
    <row r="121" spans="1:42" ht="14.25" customHeight="1" x14ac:dyDescent="0.2">
      <c r="A121" s="367">
        <v>9912</v>
      </c>
      <c r="B121" s="167"/>
      <c r="M121" s="207" t="str">
        <f t="shared" si="17"/>
        <v>NEED FORM</v>
      </c>
      <c r="W121" s="152"/>
      <c r="AB121" s="168">
        <f t="shared" si="18"/>
        <v>0</v>
      </c>
      <c r="AD121" s="284"/>
      <c r="AK121" s="144" t="s">
        <v>422</v>
      </c>
      <c r="AP121" s="321">
        <f t="shared" si="16"/>
        <v>52</v>
      </c>
    </row>
    <row r="122" spans="1:42" ht="14.25" customHeight="1" x14ac:dyDescent="0.2">
      <c r="A122" s="367">
        <v>9913</v>
      </c>
      <c r="B122" s="167"/>
      <c r="M122" s="207" t="str">
        <f t="shared" si="17"/>
        <v>NEED FORM</v>
      </c>
      <c r="W122" s="152"/>
      <c r="AB122" s="168">
        <f t="shared" si="18"/>
        <v>0</v>
      </c>
      <c r="AD122" s="284"/>
      <c r="AK122" s="144" t="s">
        <v>422</v>
      </c>
      <c r="AP122" s="321">
        <f t="shared" si="16"/>
        <v>52</v>
      </c>
    </row>
    <row r="123" spans="1:42" ht="14.25" customHeight="1" x14ac:dyDescent="0.2">
      <c r="A123" s="367">
        <v>9914</v>
      </c>
      <c r="B123" s="167"/>
      <c r="M123" s="207" t="str">
        <f t="shared" si="17"/>
        <v>NEED FORM</v>
      </c>
      <c r="W123" s="152"/>
      <c r="AB123" s="168">
        <f t="shared" si="18"/>
        <v>0</v>
      </c>
      <c r="AD123" s="284"/>
      <c r="AK123" s="144" t="s">
        <v>422</v>
      </c>
      <c r="AP123" s="321">
        <f t="shared" si="16"/>
        <v>52</v>
      </c>
    </row>
    <row r="124" spans="1:42" ht="14.25" customHeight="1" x14ac:dyDescent="0.2">
      <c r="A124" s="367">
        <v>9915</v>
      </c>
      <c r="B124" s="167"/>
      <c r="M124" s="207" t="str">
        <f t="shared" si="17"/>
        <v>NEED FORM</v>
      </c>
      <c r="W124" s="152"/>
      <c r="AB124" s="171">
        <f t="shared" si="18"/>
        <v>0</v>
      </c>
      <c r="AC124" s="144"/>
      <c r="AD124" s="284"/>
      <c r="AK124" s="144" t="s">
        <v>422</v>
      </c>
      <c r="AP124" s="321">
        <f t="shared" si="16"/>
        <v>52</v>
      </c>
    </row>
    <row r="125" spans="1:42" ht="14.25" customHeight="1" x14ac:dyDescent="0.2">
      <c r="A125" s="367">
        <v>9916</v>
      </c>
      <c r="B125" s="167"/>
      <c r="M125" s="207" t="str">
        <f t="shared" si="17"/>
        <v>NEED FORM</v>
      </c>
      <c r="W125" s="152"/>
      <c r="AB125" s="171">
        <f t="shared" si="18"/>
        <v>0</v>
      </c>
      <c r="AC125" s="144"/>
      <c r="AD125" s="284"/>
      <c r="AK125" s="144" t="s">
        <v>422</v>
      </c>
      <c r="AP125" s="321">
        <f t="shared" si="16"/>
        <v>52</v>
      </c>
    </row>
    <row r="126" spans="1:42" ht="14.25" customHeight="1" x14ac:dyDescent="0.2">
      <c r="A126" s="367">
        <v>9917</v>
      </c>
      <c r="B126" s="167"/>
      <c r="M126" s="207" t="str">
        <f t="shared" si="17"/>
        <v>NEED FORM</v>
      </c>
      <c r="W126" s="152"/>
      <c r="AB126" s="171">
        <f t="shared" si="18"/>
        <v>0</v>
      </c>
      <c r="AC126" s="144"/>
      <c r="AD126" s="284"/>
      <c r="AK126" s="144" t="s">
        <v>422</v>
      </c>
      <c r="AP126" s="321">
        <f t="shared" si="16"/>
        <v>52</v>
      </c>
    </row>
    <row r="127" spans="1:42" ht="14.25" customHeight="1" x14ac:dyDescent="0.2">
      <c r="A127" s="367">
        <v>9918</v>
      </c>
      <c r="B127" s="167"/>
      <c r="M127" s="207" t="str">
        <f t="shared" si="17"/>
        <v>NEED FORM</v>
      </c>
      <c r="W127" s="152"/>
      <c r="AB127" s="171">
        <f t="shared" si="18"/>
        <v>0</v>
      </c>
      <c r="AC127" s="144"/>
      <c r="AD127" s="284"/>
      <c r="AJ127" s="144"/>
      <c r="AK127" s="144" t="s">
        <v>422</v>
      </c>
      <c r="AP127" s="321">
        <f t="shared" si="16"/>
        <v>52</v>
      </c>
    </row>
    <row r="128" spans="1:42" ht="14.25" customHeight="1" x14ac:dyDescent="0.2">
      <c r="A128" s="367">
        <v>9919</v>
      </c>
      <c r="B128" s="167"/>
      <c r="M128" s="207" t="str">
        <f t="shared" si="17"/>
        <v>NEED FORM</v>
      </c>
      <c r="W128" s="152"/>
      <c r="AB128" s="171">
        <f t="shared" si="18"/>
        <v>0</v>
      </c>
      <c r="AC128" s="144"/>
      <c r="AD128" s="284"/>
      <c r="AJ128" s="144"/>
      <c r="AK128" s="144" t="s">
        <v>422</v>
      </c>
      <c r="AP128" s="321">
        <f t="shared" si="16"/>
        <v>52</v>
      </c>
    </row>
    <row r="129" spans="1:42" ht="14.25" customHeight="1" x14ac:dyDescent="0.2">
      <c r="A129" s="367">
        <v>9920</v>
      </c>
      <c r="B129" s="167"/>
      <c r="M129" s="207" t="str">
        <f t="shared" si="17"/>
        <v>NEED FORM</v>
      </c>
      <c r="W129" s="152"/>
      <c r="AB129" s="171">
        <f t="shared" si="18"/>
        <v>0</v>
      </c>
      <c r="AC129" s="144"/>
      <c r="AD129" s="284"/>
      <c r="AJ129" s="144"/>
      <c r="AK129" s="144" t="s">
        <v>422</v>
      </c>
      <c r="AP129" s="321">
        <f t="shared" si="16"/>
        <v>52</v>
      </c>
    </row>
    <row r="130" spans="1:42" ht="14.25" customHeight="1" x14ac:dyDescent="0.2">
      <c r="A130" s="367">
        <v>9921</v>
      </c>
      <c r="B130" s="167"/>
      <c r="M130" s="207" t="str">
        <f t="shared" si="17"/>
        <v>NEED FORM</v>
      </c>
      <c r="W130" s="152"/>
      <c r="AB130" s="171">
        <f t="shared" si="18"/>
        <v>0</v>
      </c>
      <c r="AC130" s="144"/>
      <c r="AD130" s="284"/>
      <c r="AJ130" s="144"/>
      <c r="AK130" s="144" t="s">
        <v>422</v>
      </c>
      <c r="AP130" s="321">
        <f t="shared" si="16"/>
        <v>52</v>
      </c>
    </row>
    <row r="131" spans="1:42" ht="14.25" customHeight="1" x14ac:dyDescent="0.2">
      <c r="A131" s="367">
        <v>9922</v>
      </c>
      <c r="B131" s="167"/>
      <c r="M131" s="207" t="str">
        <f t="shared" si="17"/>
        <v>NEED FORM</v>
      </c>
      <c r="W131" s="152"/>
      <c r="AB131" s="171">
        <f t="shared" si="18"/>
        <v>0</v>
      </c>
      <c r="AC131" s="144"/>
      <c r="AD131" s="284"/>
      <c r="AJ131" s="144"/>
      <c r="AK131" s="144" t="s">
        <v>422</v>
      </c>
      <c r="AP131" s="321">
        <f t="shared" si="16"/>
        <v>52</v>
      </c>
    </row>
    <row r="132" spans="1:42" ht="14.25" customHeight="1" x14ac:dyDescent="0.2">
      <c r="A132" s="367">
        <v>9923</v>
      </c>
      <c r="B132" s="167"/>
      <c r="M132" s="207" t="str">
        <f t="shared" si="17"/>
        <v>NEED FORM</v>
      </c>
      <c r="W132" s="152"/>
      <c r="AB132" s="171">
        <f t="shared" si="18"/>
        <v>0</v>
      </c>
      <c r="AC132" s="144"/>
      <c r="AD132" s="284"/>
      <c r="AJ132" s="144"/>
      <c r="AK132" s="144" t="s">
        <v>422</v>
      </c>
      <c r="AP132" s="321">
        <f t="shared" si="16"/>
        <v>52</v>
      </c>
    </row>
    <row r="133" spans="1:42" ht="14.25" customHeight="1" x14ac:dyDescent="0.2">
      <c r="A133" s="367">
        <v>9924</v>
      </c>
      <c r="B133" s="167"/>
      <c r="M133" s="207" t="str">
        <f t="shared" si="17"/>
        <v>NEED FORM</v>
      </c>
      <c r="W133" s="152"/>
      <c r="AB133" s="171">
        <f t="shared" si="18"/>
        <v>0</v>
      </c>
      <c r="AC133" s="144"/>
      <c r="AD133" s="284"/>
      <c r="AJ133" s="144"/>
      <c r="AK133" s="144" t="s">
        <v>422</v>
      </c>
      <c r="AP133" s="321">
        <f t="shared" si="16"/>
        <v>52</v>
      </c>
    </row>
    <row r="134" spans="1:42" ht="14.25" customHeight="1" x14ac:dyDescent="0.2">
      <c r="A134" s="367">
        <v>9925</v>
      </c>
      <c r="B134" s="167"/>
      <c r="M134" s="207" t="str">
        <f t="shared" ref="M134:M165" si="19">_xlfn.IFNA(VLOOKUP(L134,TAX,2,FALSE), "NEED FORM")</f>
        <v>NEED FORM</v>
      </c>
      <c r="W134" s="152"/>
      <c r="AB134" s="171">
        <f t="shared" si="18"/>
        <v>0</v>
      </c>
      <c r="AC134" s="144"/>
      <c r="AD134" s="284"/>
      <c r="AJ134" s="144"/>
      <c r="AK134" s="144" t="s">
        <v>422</v>
      </c>
      <c r="AP134" s="321">
        <f t="shared" si="16"/>
        <v>52</v>
      </c>
    </row>
    <row r="135" spans="1:42" ht="14.25" customHeight="1" x14ac:dyDescent="0.2">
      <c r="A135" s="367">
        <v>9926</v>
      </c>
      <c r="B135" s="167"/>
      <c r="M135" s="207" t="str">
        <f t="shared" si="19"/>
        <v>NEED FORM</v>
      </c>
      <c r="W135" s="152"/>
      <c r="AB135" s="171">
        <f t="shared" si="18"/>
        <v>0</v>
      </c>
      <c r="AC135" s="144"/>
      <c r="AD135" s="284"/>
      <c r="AK135" s="144" t="s">
        <v>422</v>
      </c>
      <c r="AP135" s="321">
        <f t="shared" si="16"/>
        <v>52</v>
      </c>
    </row>
    <row r="136" spans="1:42" ht="14.25" customHeight="1" x14ac:dyDescent="0.2">
      <c r="A136" s="367">
        <v>9927</v>
      </c>
      <c r="B136" s="167"/>
      <c r="M136" s="207" t="str">
        <f t="shared" si="19"/>
        <v>NEED FORM</v>
      </c>
      <c r="W136" s="152"/>
      <c r="AB136" s="171">
        <f t="shared" si="18"/>
        <v>0</v>
      </c>
      <c r="AC136" s="144"/>
      <c r="AD136" s="284"/>
      <c r="AK136" s="144" t="s">
        <v>422</v>
      </c>
      <c r="AP136" s="321">
        <f t="shared" si="16"/>
        <v>52</v>
      </c>
    </row>
    <row r="137" spans="1:42" ht="14.25" customHeight="1" x14ac:dyDescent="0.2">
      <c r="A137" s="367">
        <v>9928</v>
      </c>
      <c r="B137" s="167"/>
      <c r="M137" s="207" t="str">
        <f t="shared" si="19"/>
        <v>NEED FORM</v>
      </c>
      <c r="W137" s="152"/>
      <c r="AB137" s="171">
        <f t="shared" si="18"/>
        <v>0</v>
      </c>
      <c r="AC137" s="144"/>
      <c r="AD137" s="284"/>
      <c r="AK137" s="144" t="s">
        <v>422</v>
      </c>
      <c r="AP137" s="321">
        <f t="shared" si="16"/>
        <v>52</v>
      </c>
    </row>
    <row r="138" spans="1:42" ht="14.25" customHeight="1" x14ac:dyDescent="0.2">
      <c r="A138" s="367">
        <v>9929</v>
      </c>
      <c r="B138" s="167"/>
      <c r="M138" s="207" t="str">
        <f t="shared" si="19"/>
        <v>NEED FORM</v>
      </c>
      <c r="W138" s="152"/>
      <c r="AB138" s="171">
        <f t="shared" si="18"/>
        <v>0</v>
      </c>
      <c r="AC138" s="144"/>
      <c r="AD138" s="284"/>
      <c r="AK138" s="144" t="s">
        <v>422</v>
      </c>
      <c r="AP138" s="321">
        <f t="shared" si="16"/>
        <v>52</v>
      </c>
    </row>
    <row r="139" spans="1:42" ht="14.25" customHeight="1" x14ac:dyDescent="0.2">
      <c r="A139" s="367">
        <v>9930</v>
      </c>
      <c r="B139" s="167"/>
      <c r="M139" s="207" t="str">
        <f t="shared" si="19"/>
        <v>NEED FORM</v>
      </c>
      <c r="W139" s="152"/>
      <c r="AB139" s="171">
        <f t="shared" si="18"/>
        <v>0</v>
      </c>
      <c r="AC139" s="144"/>
      <c r="AD139" s="284"/>
      <c r="AK139" s="144" t="s">
        <v>422</v>
      </c>
      <c r="AP139" s="321">
        <f t="shared" si="16"/>
        <v>52</v>
      </c>
    </row>
    <row r="140" spans="1:42" ht="14.25" customHeight="1" x14ac:dyDescent="0.2">
      <c r="A140" s="367">
        <v>9931</v>
      </c>
      <c r="B140" s="167"/>
      <c r="M140" s="207" t="str">
        <f t="shared" si="19"/>
        <v>NEED FORM</v>
      </c>
      <c r="W140" s="152"/>
      <c r="AB140" s="168">
        <f t="shared" si="18"/>
        <v>0</v>
      </c>
      <c r="AD140" s="284"/>
      <c r="AK140" s="144" t="s">
        <v>422</v>
      </c>
      <c r="AP140" s="321">
        <f t="shared" si="16"/>
        <v>52</v>
      </c>
    </row>
    <row r="141" spans="1:42" ht="14.25" customHeight="1" x14ac:dyDescent="0.2">
      <c r="A141" s="367">
        <v>9932</v>
      </c>
      <c r="B141" s="167"/>
      <c r="M141" s="207" t="str">
        <f t="shared" si="19"/>
        <v>NEED FORM</v>
      </c>
      <c r="W141" s="152"/>
      <c r="AB141" s="168">
        <f t="shared" si="18"/>
        <v>0</v>
      </c>
      <c r="AD141" s="284"/>
      <c r="AK141" s="144" t="s">
        <v>422</v>
      </c>
      <c r="AP141" s="321">
        <f t="shared" si="16"/>
        <v>52</v>
      </c>
    </row>
    <row r="142" spans="1:42" ht="14.25" customHeight="1" x14ac:dyDescent="0.2">
      <c r="A142" s="367">
        <v>9933</v>
      </c>
      <c r="B142" s="167"/>
      <c r="M142" s="207" t="str">
        <f t="shared" si="19"/>
        <v>NEED FORM</v>
      </c>
      <c r="W142" s="152"/>
      <c r="AB142" s="168">
        <f t="shared" si="18"/>
        <v>0</v>
      </c>
      <c r="AD142" s="284"/>
      <c r="AK142" s="144" t="s">
        <v>422</v>
      </c>
      <c r="AP142" s="321">
        <f t="shared" si="16"/>
        <v>52</v>
      </c>
    </row>
    <row r="143" spans="1:42" ht="14.25" customHeight="1" x14ac:dyDescent="0.2">
      <c r="A143" s="367">
        <v>9934</v>
      </c>
      <c r="B143" s="167"/>
      <c r="M143" s="207" t="str">
        <f t="shared" si="19"/>
        <v>NEED FORM</v>
      </c>
      <c r="W143" s="152"/>
      <c r="AB143" s="168">
        <f t="shared" si="18"/>
        <v>0</v>
      </c>
      <c r="AD143" s="284"/>
      <c r="AK143" s="144" t="s">
        <v>422</v>
      </c>
      <c r="AP143" s="321">
        <f t="shared" si="16"/>
        <v>52</v>
      </c>
    </row>
    <row r="144" spans="1:42" ht="14.25" customHeight="1" x14ac:dyDescent="0.2">
      <c r="A144" s="367">
        <v>9935</v>
      </c>
      <c r="B144" s="167"/>
      <c r="M144" s="207" t="str">
        <f t="shared" si="19"/>
        <v>NEED FORM</v>
      </c>
      <c r="W144" s="152"/>
      <c r="AB144" s="168">
        <f t="shared" si="18"/>
        <v>0</v>
      </c>
      <c r="AD144" s="284"/>
      <c r="AK144" s="144" t="s">
        <v>422</v>
      </c>
      <c r="AP144" s="321">
        <f t="shared" si="16"/>
        <v>52</v>
      </c>
    </row>
    <row r="145" spans="1:42" ht="14.25" customHeight="1" x14ac:dyDescent="0.2">
      <c r="A145" s="367">
        <v>9936</v>
      </c>
      <c r="B145" s="167"/>
      <c r="M145" s="207" t="str">
        <f t="shared" si="19"/>
        <v>NEED FORM</v>
      </c>
      <c r="W145" s="152"/>
      <c r="AB145" s="171">
        <f t="shared" si="18"/>
        <v>0</v>
      </c>
      <c r="AC145" s="144"/>
      <c r="AD145" s="284"/>
      <c r="AK145" s="144" t="s">
        <v>422</v>
      </c>
      <c r="AP145" s="321">
        <f t="shared" si="16"/>
        <v>52</v>
      </c>
    </row>
    <row r="146" spans="1:42" ht="14.25" customHeight="1" x14ac:dyDescent="0.2">
      <c r="A146" s="367">
        <v>9937</v>
      </c>
      <c r="B146" s="167"/>
      <c r="M146" s="207" t="str">
        <f t="shared" si="19"/>
        <v>NEED FORM</v>
      </c>
      <c r="W146" s="152"/>
      <c r="AB146" s="171">
        <f t="shared" si="18"/>
        <v>0</v>
      </c>
      <c r="AC146" s="144"/>
      <c r="AD146" s="284"/>
      <c r="AJ146" s="144"/>
      <c r="AK146" s="144" t="s">
        <v>422</v>
      </c>
      <c r="AP146" s="321">
        <f t="shared" si="16"/>
        <v>52</v>
      </c>
    </row>
    <row r="147" spans="1:42" ht="14.25" customHeight="1" x14ac:dyDescent="0.2">
      <c r="A147" s="367">
        <v>9938</v>
      </c>
      <c r="B147" s="167"/>
      <c r="M147" s="207" t="str">
        <f t="shared" si="19"/>
        <v>NEED FORM</v>
      </c>
      <c r="W147" s="152"/>
      <c r="AB147" s="171">
        <f t="shared" si="18"/>
        <v>0</v>
      </c>
      <c r="AC147" s="144"/>
      <c r="AD147" s="284"/>
      <c r="AJ147" s="144"/>
      <c r="AK147" s="144" t="s">
        <v>422</v>
      </c>
      <c r="AP147" s="321">
        <f t="shared" si="16"/>
        <v>52</v>
      </c>
    </row>
    <row r="148" spans="1:42" ht="14.25" customHeight="1" x14ac:dyDescent="0.2">
      <c r="A148" s="367">
        <v>9939</v>
      </c>
      <c r="B148" s="167"/>
      <c r="M148" s="207" t="str">
        <f t="shared" si="19"/>
        <v>NEED FORM</v>
      </c>
      <c r="W148" s="152"/>
      <c r="AB148" s="171">
        <f t="shared" si="18"/>
        <v>0</v>
      </c>
      <c r="AC148" s="144"/>
      <c r="AD148" s="284"/>
      <c r="AJ148" s="144"/>
      <c r="AK148" s="144" t="s">
        <v>422</v>
      </c>
      <c r="AP148" s="321">
        <f t="shared" si="16"/>
        <v>52</v>
      </c>
    </row>
    <row r="149" spans="1:42" ht="14.25" customHeight="1" x14ac:dyDescent="0.2">
      <c r="A149" s="367">
        <v>9940</v>
      </c>
      <c r="B149" s="167"/>
      <c r="M149" s="207" t="str">
        <f t="shared" si="19"/>
        <v>NEED FORM</v>
      </c>
      <c r="W149" s="152"/>
      <c r="AB149" s="171">
        <f t="shared" si="18"/>
        <v>0</v>
      </c>
      <c r="AC149" s="144"/>
      <c r="AD149" s="284"/>
      <c r="AJ149" s="144"/>
      <c r="AK149" s="144" t="s">
        <v>422</v>
      </c>
      <c r="AP149" s="321">
        <f t="shared" si="16"/>
        <v>52</v>
      </c>
    </row>
    <row r="150" spans="1:42" ht="14.25" customHeight="1" x14ac:dyDescent="0.2">
      <c r="A150" s="367">
        <v>9941</v>
      </c>
      <c r="B150" s="167"/>
      <c r="M150" s="207" t="str">
        <f t="shared" si="19"/>
        <v>NEED FORM</v>
      </c>
      <c r="W150" s="152"/>
      <c r="AB150" s="171">
        <f t="shared" si="18"/>
        <v>0</v>
      </c>
      <c r="AC150" s="144"/>
      <c r="AD150" s="284"/>
      <c r="AJ150" s="144"/>
      <c r="AK150" s="144" t="s">
        <v>422</v>
      </c>
      <c r="AP150" s="321">
        <f t="shared" si="16"/>
        <v>52</v>
      </c>
    </row>
    <row r="151" spans="1:42" ht="14.25" customHeight="1" x14ac:dyDescent="0.2">
      <c r="A151" s="367">
        <v>9942</v>
      </c>
      <c r="B151" s="167"/>
      <c r="M151" s="207" t="str">
        <f t="shared" si="19"/>
        <v>NEED FORM</v>
      </c>
      <c r="W151" s="152"/>
      <c r="AB151" s="171">
        <f t="shared" ref="AB151:AB182" si="20">AA151*Y151+AC151</f>
        <v>0</v>
      </c>
      <c r="AC151" s="144"/>
      <c r="AD151" s="284"/>
      <c r="AJ151" s="144"/>
      <c r="AK151" s="144" t="s">
        <v>422</v>
      </c>
      <c r="AP151" s="321">
        <f t="shared" si="16"/>
        <v>52</v>
      </c>
    </row>
    <row r="152" spans="1:42" ht="14.25" customHeight="1" x14ac:dyDescent="0.2">
      <c r="A152" s="367">
        <v>9943</v>
      </c>
      <c r="B152" s="167"/>
      <c r="M152" s="207" t="str">
        <f t="shared" si="19"/>
        <v>NEED FORM</v>
      </c>
      <c r="W152" s="152"/>
      <c r="AB152" s="171">
        <f t="shared" si="20"/>
        <v>0</v>
      </c>
      <c r="AC152" s="144"/>
      <c r="AD152" s="284"/>
      <c r="AJ152" s="144"/>
      <c r="AK152" s="144" t="s">
        <v>422</v>
      </c>
      <c r="AP152" s="321">
        <f t="shared" si="16"/>
        <v>52</v>
      </c>
    </row>
    <row r="153" spans="1:42" ht="14.25" customHeight="1" x14ac:dyDescent="0.2">
      <c r="A153" s="367">
        <v>9944</v>
      </c>
      <c r="B153" s="167"/>
      <c r="M153" s="207" t="str">
        <f t="shared" si="19"/>
        <v>NEED FORM</v>
      </c>
      <c r="W153" s="152"/>
      <c r="AB153" s="171">
        <f t="shared" si="20"/>
        <v>0</v>
      </c>
      <c r="AC153" s="144"/>
      <c r="AD153" s="284"/>
      <c r="AJ153" s="144"/>
      <c r="AK153" s="144" t="s">
        <v>422</v>
      </c>
      <c r="AP153" s="321">
        <f t="shared" si="16"/>
        <v>52</v>
      </c>
    </row>
    <row r="154" spans="1:42" ht="14.25" customHeight="1" x14ac:dyDescent="0.2">
      <c r="A154" s="367">
        <v>9945</v>
      </c>
      <c r="B154" s="167"/>
      <c r="M154" s="207" t="str">
        <f t="shared" si="19"/>
        <v>NEED FORM</v>
      </c>
      <c r="W154" s="152"/>
      <c r="AB154" s="171">
        <f t="shared" si="20"/>
        <v>0</v>
      </c>
      <c r="AC154" s="144"/>
      <c r="AD154" s="284"/>
      <c r="AK154" s="144" t="s">
        <v>422</v>
      </c>
      <c r="AP154" s="321">
        <f t="shared" si="16"/>
        <v>52</v>
      </c>
    </row>
    <row r="155" spans="1:42" ht="14.25" customHeight="1" x14ac:dyDescent="0.2">
      <c r="A155" s="367">
        <v>9946</v>
      </c>
      <c r="B155" s="167"/>
      <c r="M155" s="207" t="str">
        <f t="shared" si="19"/>
        <v>NEED FORM</v>
      </c>
      <c r="W155" s="152"/>
      <c r="AB155" s="171">
        <f t="shared" si="20"/>
        <v>0</v>
      </c>
      <c r="AC155" s="144"/>
      <c r="AD155" s="284"/>
      <c r="AK155" s="144" t="s">
        <v>422</v>
      </c>
      <c r="AP155" s="321">
        <f t="shared" si="16"/>
        <v>52</v>
      </c>
    </row>
    <row r="156" spans="1:42" ht="14.25" customHeight="1" x14ac:dyDescent="0.2">
      <c r="A156" s="367">
        <v>9947</v>
      </c>
      <c r="B156" s="167"/>
      <c r="M156" s="207" t="str">
        <f t="shared" si="19"/>
        <v>NEED FORM</v>
      </c>
      <c r="W156" s="152"/>
      <c r="AB156" s="171">
        <f t="shared" si="20"/>
        <v>0</v>
      </c>
      <c r="AC156" s="144"/>
      <c r="AD156" s="284"/>
      <c r="AK156" s="144" t="s">
        <v>422</v>
      </c>
      <c r="AP156" s="321">
        <f t="shared" si="16"/>
        <v>52</v>
      </c>
    </row>
    <row r="157" spans="1:42" ht="14.25" customHeight="1" x14ac:dyDescent="0.2">
      <c r="A157" s="367">
        <v>9948</v>
      </c>
      <c r="B157" s="167"/>
      <c r="M157" s="207" t="str">
        <f t="shared" si="19"/>
        <v>NEED FORM</v>
      </c>
      <c r="W157" s="152"/>
      <c r="AB157" s="171">
        <f t="shared" si="20"/>
        <v>0</v>
      </c>
      <c r="AC157" s="144"/>
      <c r="AD157" s="284"/>
      <c r="AK157" s="144" t="s">
        <v>422</v>
      </c>
      <c r="AP157" s="321">
        <f t="shared" si="16"/>
        <v>52</v>
      </c>
    </row>
    <row r="158" spans="1:42" ht="14.25" customHeight="1" x14ac:dyDescent="0.2">
      <c r="A158" s="367">
        <v>9949</v>
      </c>
      <c r="B158" s="167"/>
      <c r="M158" s="207" t="str">
        <f t="shared" si="19"/>
        <v>NEED FORM</v>
      </c>
      <c r="W158" s="152"/>
      <c r="AB158" s="171">
        <f t="shared" si="20"/>
        <v>0</v>
      </c>
      <c r="AC158" s="144"/>
      <c r="AD158" s="284"/>
      <c r="AK158" s="144" t="s">
        <v>422</v>
      </c>
      <c r="AP158" s="321">
        <f t="shared" si="16"/>
        <v>52</v>
      </c>
    </row>
    <row r="159" spans="1:42" ht="14.25" customHeight="1" x14ac:dyDescent="0.2">
      <c r="A159" s="367">
        <v>9950</v>
      </c>
      <c r="B159" s="167"/>
      <c r="M159" s="207" t="str">
        <f t="shared" si="19"/>
        <v>NEED FORM</v>
      </c>
      <c r="W159" s="152"/>
      <c r="AB159" s="168">
        <f t="shared" si="20"/>
        <v>0</v>
      </c>
      <c r="AD159" s="284"/>
      <c r="AK159" s="144" t="s">
        <v>422</v>
      </c>
      <c r="AP159" s="321">
        <f t="shared" si="16"/>
        <v>52</v>
      </c>
    </row>
    <row r="160" spans="1:42" ht="14.25" customHeight="1" x14ac:dyDescent="0.2">
      <c r="A160" s="367">
        <v>9951</v>
      </c>
      <c r="B160" s="167"/>
      <c r="M160" s="207" t="str">
        <f t="shared" si="19"/>
        <v>NEED FORM</v>
      </c>
      <c r="W160" s="152"/>
      <c r="AB160" s="168">
        <f t="shared" si="20"/>
        <v>0</v>
      </c>
      <c r="AD160" s="284"/>
      <c r="AK160" s="144" t="s">
        <v>422</v>
      </c>
      <c r="AP160" s="321">
        <f t="shared" ref="AP160:AP186" si="21">_xlfn.ISOWEEKNUM(C160)</f>
        <v>52</v>
      </c>
    </row>
    <row r="161" spans="1:42" ht="14.25" customHeight="1" x14ac:dyDescent="0.2">
      <c r="A161" s="367">
        <v>9952</v>
      </c>
      <c r="B161" s="167"/>
      <c r="M161" s="207" t="str">
        <f t="shared" si="19"/>
        <v>NEED FORM</v>
      </c>
      <c r="W161" s="152"/>
      <c r="AB161" s="168">
        <f t="shared" si="20"/>
        <v>0</v>
      </c>
      <c r="AD161" s="284"/>
      <c r="AK161" s="144" t="s">
        <v>422</v>
      </c>
      <c r="AP161" s="321">
        <f t="shared" si="21"/>
        <v>52</v>
      </c>
    </row>
    <row r="162" spans="1:42" ht="14.25" customHeight="1" x14ac:dyDescent="0.2">
      <c r="A162" s="367">
        <v>9953</v>
      </c>
      <c r="B162" s="167"/>
      <c r="M162" s="207" t="str">
        <f t="shared" si="19"/>
        <v>NEED FORM</v>
      </c>
      <c r="W162" s="152"/>
      <c r="AB162" s="168">
        <f t="shared" si="20"/>
        <v>0</v>
      </c>
      <c r="AD162" s="284"/>
      <c r="AK162" s="144" t="s">
        <v>422</v>
      </c>
      <c r="AP162" s="321">
        <f t="shared" si="21"/>
        <v>52</v>
      </c>
    </row>
    <row r="163" spans="1:42" ht="14.25" customHeight="1" x14ac:dyDescent="0.2">
      <c r="A163" s="367">
        <v>9954</v>
      </c>
      <c r="B163" s="167"/>
      <c r="M163" s="207" t="str">
        <f t="shared" si="19"/>
        <v>NEED FORM</v>
      </c>
      <c r="W163" s="152"/>
      <c r="AB163" s="168">
        <f t="shared" si="20"/>
        <v>0</v>
      </c>
      <c r="AD163" s="284"/>
      <c r="AK163" s="144" t="s">
        <v>422</v>
      </c>
      <c r="AP163" s="321">
        <f t="shared" si="21"/>
        <v>52</v>
      </c>
    </row>
    <row r="164" spans="1:42" ht="14.25" customHeight="1" x14ac:dyDescent="0.2">
      <c r="A164" s="367">
        <v>9955</v>
      </c>
      <c r="B164" s="167"/>
      <c r="M164" s="207" t="str">
        <f t="shared" si="19"/>
        <v>NEED FORM</v>
      </c>
      <c r="W164" s="152"/>
      <c r="AB164" s="171">
        <f t="shared" si="20"/>
        <v>0</v>
      </c>
      <c r="AC164" s="144"/>
      <c r="AD164" s="284"/>
      <c r="AK164" s="144" t="s">
        <v>422</v>
      </c>
      <c r="AP164" s="321">
        <f t="shared" si="21"/>
        <v>52</v>
      </c>
    </row>
    <row r="165" spans="1:42" ht="14.25" customHeight="1" x14ac:dyDescent="0.2">
      <c r="A165" s="367">
        <v>9956</v>
      </c>
      <c r="B165" s="167"/>
      <c r="M165" s="207" t="str">
        <f t="shared" si="19"/>
        <v>NEED FORM</v>
      </c>
      <c r="W165" s="152"/>
      <c r="AB165" s="171">
        <f t="shared" si="20"/>
        <v>0</v>
      </c>
      <c r="AC165" s="144"/>
      <c r="AD165" s="284"/>
      <c r="AK165" s="144" t="s">
        <v>422</v>
      </c>
      <c r="AP165" s="321">
        <f t="shared" si="21"/>
        <v>52</v>
      </c>
    </row>
    <row r="166" spans="1:42" ht="14.25" customHeight="1" x14ac:dyDescent="0.2">
      <c r="A166" s="367">
        <v>9957</v>
      </c>
      <c r="B166" s="167"/>
      <c r="M166" s="207" t="str">
        <f t="shared" ref="M166:M186" si="22">_xlfn.IFNA(VLOOKUP(L166,TAX,2,FALSE), "NEED FORM")</f>
        <v>NEED FORM</v>
      </c>
      <c r="W166" s="152"/>
      <c r="AB166" s="171">
        <f t="shared" si="20"/>
        <v>0</v>
      </c>
      <c r="AC166" s="144"/>
      <c r="AD166" s="284"/>
      <c r="AK166" s="144" t="s">
        <v>422</v>
      </c>
      <c r="AP166" s="321">
        <f t="shared" si="21"/>
        <v>52</v>
      </c>
    </row>
    <row r="167" spans="1:42" ht="14.25" customHeight="1" x14ac:dyDescent="0.2">
      <c r="A167" s="367">
        <v>9958</v>
      </c>
      <c r="B167" s="167"/>
      <c r="M167" s="207" t="str">
        <f t="shared" si="22"/>
        <v>NEED FORM</v>
      </c>
      <c r="W167" s="152"/>
      <c r="AB167" s="171">
        <f t="shared" si="20"/>
        <v>0</v>
      </c>
      <c r="AC167" s="144"/>
      <c r="AD167" s="284"/>
      <c r="AJ167" s="144"/>
      <c r="AK167" s="144" t="s">
        <v>422</v>
      </c>
      <c r="AP167" s="321">
        <f t="shared" si="21"/>
        <v>52</v>
      </c>
    </row>
    <row r="168" spans="1:42" ht="14.25" customHeight="1" x14ac:dyDescent="0.2">
      <c r="A168" s="367">
        <v>9959</v>
      </c>
      <c r="B168" s="167"/>
      <c r="M168" s="207" t="str">
        <f t="shared" si="22"/>
        <v>NEED FORM</v>
      </c>
      <c r="W168" s="152"/>
      <c r="AB168" s="171">
        <f t="shared" si="20"/>
        <v>0</v>
      </c>
      <c r="AC168" s="144"/>
      <c r="AD168" s="284"/>
      <c r="AJ168" s="144"/>
      <c r="AK168" s="144" t="s">
        <v>422</v>
      </c>
      <c r="AP168" s="321">
        <f t="shared" si="21"/>
        <v>52</v>
      </c>
    </row>
    <row r="169" spans="1:42" ht="14.25" customHeight="1" x14ac:dyDescent="0.2">
      <c r="A169" s="367">
        <v>9960</v>
      </c>
      <c r="B169" s="167"/>
      <c r="M169" s="207" t="str">
        <f t="shared" si="22"/>
        <v>NEED FORM</v>
      </c>
      <c r="W169" s="152"/>
      <c r="AB169" s="171">
        <f t="shared" si="20"/>
        <v>0</v>
      </c>
      <c r="AC169" s="144"/>
      <c r="AD169" s="284"/>
      <c r="AJ169" s="144"/>
      <c r="AK169" s="144" t="s">
        <v>422</v>
      </c>
      <c r="AP169" s="321">
        <f t="shared" si="21"/>
        <v>52</v>
      </c>
    </row>
    <row r="170" spans="1:42" ht="14.25" customHeight="1" x14ac:dyDescent="0.2">
      <c r="A170" s="367">
        <v>9961</v>
      </c>
      <c r="B170" s="167"/>
      <c r="M170" s="207" t="str">
        <f t="shared" si="22"/>
        <v>NEED FORM</v>
      </c>
      <c r="W170" s="152"/>
      <c r="AB170" s="171">
        <f t="shared" si="20"/>
        <v>0</v>
      </c>
      <c r="AC170" s="144"/>
      <c r="AD170" s="284"/>
      <c r="AJ170" s="144"/>
      <c r="AK170" s="144" t="s">
        <v>422</v>
      </c>
      <c r="AP170" s="321">
        <f t="shared" si="21"/>
        <v>52</v>
      </c>
    </row>
    <row r="171" spans="1:42" ht="14.25" customHeight="1" x14ac:dyDescent="0.2">
      <c r="A171" s="367">
        <v>9962</v>
      </c>
      <c r="B171" s="167"/>
      <c r="M171" s="207" t="str">
        <f t="shared" si="22"/>
        <v>NEED FORM</v>
      </c>
      <c r="W171" s="152"/>
      <c r="AB171" s="171">
        <f t="shared" si="20"/>
        <v>0</v>
      </c>
      <c r="AC171" s="144"/>
      <c r="AD171" s="284"/>
      <c r="AJ171" s="144"/>
      <c r="AK171" s="144" t="s">
        <v>422</v>
      </c>
      <c r="AP171" s="321">
        <f t="shared" si="21"/>
        <v>52</v>
      </c>
    </row>
    <row r="172" spans="1:42" ht="14.25" customHeight="1" x14ac:dyDescent="0.2">
      <c r="A172" s="367">
        <v>9963</v>
      </c>
      <c r="B172" s="167"/>
      <c r="M172" s="207" t="str">
        <f t="shared" si="22"/>
        <v>NEED FORM</v>
      </c>
      <c r="W172" s="152"/>
      <c r="AB172" s="171">
        <f t="shared" si="20"/>
        <v>0</v>
      </c>
      <c r="AC172" s="144"/>
      <c r="AD172" s="284"/>
      <c r="AJ172" s="144"/>
      <c r="AK172" s="144" t="s">
        <v>422</v>
      </c>
      <c r="AP172" s="321">
        <f t="shared" si="21"/>
        <v>52</v>
      </c>
    </row>
    <row r="173" spans="1:42" ht="14.25" customHeight="1" x14ac:dyDescent="0.2">
      <c r="A173" s="367">
        <v>9964</v>
      </c>
      <c r="B173" s="167"/>
      <c r="M173" s="207" t="str">
        <f t="shared" si="22"/>
        <v>NEED FORM</v>
      </c>
      <c r="W173" s="152"/>
      <c r="AB173" s="171">
        <f t="shared" si="20"/>
        <v>0</v>
      </c>
      <c r="AC173" s="144"/>
      <c r="AD173" s="284"/>
      <c r="AJ173" s="144"/>
      <c r="AK173" s="144" t="s">
        <v>422</v>
      </c>
      <c r="AP173" s="321">
        <f t="shared" si="21"/>
        <v>52</v>
      </c>
    </row>
    <row r="174" spans="1:42" ht="14.25" customHeight="1" x14ac:dyDescent="0.2">
      <c r="A174" s="367">
        <v>9965</v>
      </c>
      <c r="B174" s="167"/>
      <c r="M174" s="207" t="str">
        <f t="shared" si="22"/>
        <v>NEED FORM</v>
      </c>
      <c r="W174" s="152"/>
      <c r="AB174" s="171">
        <f t="shared" si="20"/>
        <v>0</v>
      </c>
      <c r="AC174" s="144"/>
      <c r="AD174" s="284"/>
      <c r="AJ174" s="144"/>
      <c r="AK174" s="144" t="s">
        <v>422</v>
      </c>
      <c r="AP174" s="321">
        <f t="shared" si="21"/>
        <v>52</v>
      </c>
    </row>
    <row r="175" spans="1:42" ht="14.25" customHeight="1" x14ac:dyDescent="0.2">
      <c r="A175" s="367">
        <v>9966</v>
      </c>
      <c r="B175" s="167"/>
      <c r="M175" s="207" t="str">
        <f t="shared" si="22"/>
        <v>NEED FORM</v>
      </c>
      <c r="W175" s="152"/>
      <c r="AB175" s="171">
        <f t="shared" si="20"/>
        <v>0</v>
      </c>
      <c r="AC175" s="144"/>
      <c r="AD175" s="284"/>
      <c r="AK175" s="144" t="s">
        <v>422</v>
      </c>
      <c r="AP175" s="321">
        <f t="shared" si="21"/>
        <v>52</v>
      </c>
    </row>
    <row r="176" spans="1:42" ht="14.25" customHeight="1" x14ac:dyDescent="0.2">
      <c r="A176" s="367">
        <v>9967</v>
      </c>
      <c r="B176" s="167"/>
      <c r="M176" s="207" t="str">
        <f t="shared" si="22"/>
        <v>NEED FORM</v>
      </c>
      <c r="W176" s="152"/>
      <c r="AB176" s="171">
        <f t="shared" si="20"/>
        <v>0</v>
      </c>
      <c r="AC176" s="144"/>
      <c r="AD176" s="284"/>
      <c r="AK176" s="144" t="s">
        <v>422</v>
      </c>
      <c r="AP176" s="321">
        <f t="shared" si="21"/>
        <v>52</v>
      </c>
    </row>
    <row r="177" spans="1:860" ht="14.25" customHeight="1" x14ac:dyDescent="0.2">
      <c r="A177" s="367">
        <v>9968</v>
      </c>
      <c r="B177" s="167"/>
      <c r="M177" s="207" t="str">
        <f t="shared" si="22"/>
        <v>NEED FORM</v>
      </c>
      <c r="W177" s="152"/>
      <c r="AB177" s="171">
        <f t="shared" si="20"/>
        <v>0</v>
      </c>
      <c r="AC177" s="144"/>
      <c r="AD177" s="284"/>
      <c r="AK177" s="144" t="s">
        <v>422</v>
      </c>
      <c r="AP177" s="321">
        <f t="shared" si="21"/>
        <v>52</v>
      </c>
    </row>
    <row r="178" spans="1:860" ht="14.25" customHeight="1" x14ac:dyDescent="0.2">
      <c r="A178" s="367">
        <v>9969</v>
      </c>
      <c r="B178" s="167"/>
      <c r="M178" s="207" t="str">
        <f t="shared" si="22"/>
        <v>NEED FORM</v>
      </c>
      <c r="W178" s="152"/>
      <c r="AB178" s="171">
        <f t="shared" si="20"/>
        <v>0</v>
      </c>
      <c r="AC178" s="144"/>
      <c r="AD178" s="284"/>
      <c r="AK178" s="144" t="s">
        <v>422</v>
      </c>
      <c r="AP178" s="321">
        <f t="shared" si="21"/>
        <v>52</v>
      </c>
    </row>
    <row r="179" spans="1:860" ht="14.25" customHeight="1" x14ac:dyDescent="0.2">
      <c r="A179" s="367">
        <v>9970</v>
      </c>
      <c r="B179" s="167"/>
      <c r="M179" s="207" t="str">
        <f t="shared" si="22"/>
        <v>NEED FORM</v>
      </c>
      <c r="W179" s="152"/>
      <c r="AB179" s="171">
        <f t="shared" si="20"/>
        <v>0</v>
      </c>
      <c r="AC179" s="144"/>
      <c r="AD179" s="284"/>
      <c r="AK179" s="144" t="s">
        <v>422</v>
      </c>
      <c r="AP179" s="321">
        <f t="shared" si="21"/>
        <v>52</v>
      </c>
    </row>
    <row r="180" spans="1:860" ht="14.25" customHeight="1" x14ac:dyDescent="0.2">
      <c r="A180" s="367">
        <v>9971</v>
      </c>
      <c r="B180" s="167"/>
      <c r="M180" s="207" t="str">
        <f t="shared" si="22"/>
        <v>NEED FORM</v>
      </c>
      <c r="W180" s="152"/>
      <c r="AB180" s="168">
        <f t="shared" si="20"/>
        <v>0</v>
      </c>
      <c r="AD180" s="284"/>
      <c r="AK180" s="144" t="s">
        <v>422</v>
      </c>
      <c r="AP180" s="321">
        <f t="shared" si="21"/>
        <v>52</v>
      </c>
    </row>
    <row r="181" spans="1:860" ht="14.25" customHeight="1" x14ac:dyDescent="0.2">
      <c r="A181" s="367">
        <v>9972</v>
      </c>
      <c r="B181" s="167"/>
      <c r="M181" s="207" t="str">
        <f t="shared" si="22"/>
        <v>NEED FORM</v>
      </c>
      <c r="W181" s="152"/>
      <c r="AB181" s="168">
        <f t="shared" si="20"/>
        <v>0</v>
      </c>
      <c r="AD181" s="284"/>
      <c r="AK181" s="144" t="s">
        <v>422</v>
      </c>
      <c r="AP181" s="321">
        <f t="shared" si="21"/>
        <v>52</v>
      </c>
    </row>
    <row r="182" spans="1:860" ht="14.25" customHeight="1" x14ac:dyDescent="0.2">
      <c r="A182" s="367">
        <v>9973</v>
      </c>
      <c r="B182" s="167"/>
      <c r="M182" s="207" t="str">
        <f t="shared" si="22"/>
        <v>NEED FORM</v>
      </c>
      <c r="W182" s="152"/>
      <c r="AB182" s="168">
        <f t="shared" si="20"/>
        <v>0</v>
      </c>
      <c r="AD182" s="284"/>
      <c r="AK182" s="144" t="s">
        <v>422</v>
      </c>
      <c r="AP182" s="321">
        <f t="shared" si="21"/>
        <v>52</v>
      </c>
    </row>
    <row r="183" spans="1:860" ht="14.25" customHeight="1" x14ac:dyDescent="0.2">
      <c r="A183" s="367">
        <v>9974</v>
      </c>
      <c r="B183" s="167"/>
      <c r="M183" s="207" t="str">
        <f t="shared" si="22"/>
        <v>NEED FORM</v>
      </c>
      <c r="W183" s="152"/>
      <c r="AB183" s="168">
        <f t="shared" ref="AB183:AB186" si="23">AA183*Y183+AC183</f>
        <v>0</v>
      </c>
      <c r="AD183" s="284"/>
      <c r="AK183" s="144" t="s">
        <v>422</v>
      </c>
      <c r="AP183" s="321">
        <f t="shared" si="21"/>
        <v>52</v>
      </c>
    </row>
    <row r="184" spans="1:860" ht="14.25" customHeight="1" x14ac:dyDescent="0.2">
      <c r="A184" s="367">
        <v>9975</v>
      </c>
      <c r="B184" s="167"/>
      <c r="M184" s="207" t="str">
        <f t="shared" si="22"/>
        <v>NEED FORM</v>
      </c>
      <c r="W184" s="152"/>
      <c r="AB184" s="168">
        <f t="shared" si="23"/>
        <v>0</v>
      </c>
      <c r="AD184" s="284"/>
      <c r="AK184" s="144" t="s">
        <v>422</v>
      </c>
      <c r="AP184" s="321">
        <f t="shared" si="21"/>
        <v>52</v>
      </c>
    </row>
    <row r="185" spans="1:860" ht="14.25" customHeight="1" x14ac:dyDescent="0.2">
      <c r="A185" s="367">
        <v>9976</v>
      </c>
      <c r="B185" s="167"/>
      <c r="M185" s="207" t="str">
        <f t="shared" si="22"/>
        <v>NEED FORM</v>
      </c>
      <c r="W185" s="152"/>
      <c r="AB185" s="168">
        <f t="shared" si="23"/>
        <v>0</v>
      </c>
      <c r="AD185" s="284"/>
      <c r="AK185" s="144" t="s">
        <v>422</v>
      </c>
      <c r="AP185" s="321">
        <f t="shared" si="21"/>
        <v>52</v>
      </c>
    </row>
    <row r="186" spans="1:860" ht="14.25" customHeight="1" x14ac:dyDescent="0.2">
      <c r="A186" s="367">
        <v>9977</v>
      </c>
      <c r="B186" s="167"/>
      <c r="M186" s="207" t="str">
        <f t="shared" si="22"/>
        <v>NEED FORM</v>
      </c>
      <c r="W186" s="152"/>
      <c r="AB186" s="168">
        <f t="shared" si="23"/>
        <v>0</v>
      </c>
      <c r="AD186" s="284"/>
      <c r="AK186" s="144" t="s">
        <v>422</v>
      </c>
      <c r="AP186" s="321">
        <f t="shared" si="21"/>
        <v>52</v>
      </c>
    </row>
    <row r="187" spans="1:860" ht="14.25" customHeight="1" x14ac:dyDescent="0.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c r="AA187" s="252"/>
      <c r="AB187" s="252"/>
      <c r="AC187" s="252"/>
      <c r="AD187" s="252"/>
      <c r="AE187" s="252"/>
      <c r="AF187" s="252"/>
      <c r="AG187" s="252"/>
      <c r="AH187" s="252"/>
      <c r="AI187" s="252"/>
      <c r="AJ187" s="252"/>
      <c r="AK187" s="252"/>
      <c r="AL187" s="252"/>
      <c r="AM187" s="252"/>
      <c r="AN187" s="252"/>
      <c r="AO187" s="252"/>
      <c r="AP187" s="252"/>
    </row>
    <row r="188" spans="1:860" s="95" customFormat="1" ht="14.25" customHeight="1" x14ac:dyDescent="0.2">
      <c r="A188" s="239"/>
      <c r="B188" s="289"/>
      <c r="C188" s="309"/>
      <c r="D188" s="309"/>
      <c r="E188" s="309"/>
      <c r="F188" s="309"/>
      <c r="G188" s="309"/>
      <c r="H188" s="309"/>
      <c r="I188" s="227"/>
      <c r="J188" s="228"/>
      <c r="K188" s="229"/>
      <c r="L188" s="229"/>
      <c r="M188" s="230"/>
      <c r="N188" s="231"/>
      <c r="O188" s="229"/>
      <c r="P188" s="229"/>
      <c r="Q188" s="229"/>
      <c r="R188" s="228"/>
      <c r="S188" s="229"/>
      <c r="T188" s="229"/>
      <c r="U188" s="228"/>
      <c r="V188" s="228"/>
      <c r="W188" s="289"/>
      <c r="X188" s="228"/>
      <c r="Y188" s="232"/>
      <c r="Z188" s="232"/>
      <c r="AA188" s="233">
        <v>1</v>
      </c>
      <c r="AB188" s="234"/>
      <c r="AC188" s="319"/>
      <c r="AD188" s="228"/>
      <c r="AE188" s="309"/>
      <c r="AF188" s="309"/>
      <c r="AG188" s="309"/>
      <c r="AH188" s="309"/>
      <c r="AI188" s="357"/>
      <c r="AJ188" s="273"/>
      <c r="AK188" s="229"/>
      <c r="AM188" s="320"/>
      <c r="AN188" s="320"/>
      <c r="AO188" s="325"/>
      <c r="AP188" s="325"/>
      <c r="AQ188" s="325"/>
      <c r="AR188" s="246"/>
      <c r="AS188" s="246"/>
      <c r="AT188" s="246"/>
      <c r="AU188" s="246"/>
      <c r="AV188" s="246"/>
      <c r="AW188" s="246"/>
      <c r="AX188" s="246"/>
      <c r="AY188" s="246"/>
      <c r="AZ188" s="246"/>
      <c r="BA188" s="246"/>
      <c r="BB188" s="246"/>
      <c r="BC188" s="246"/>
      <c r="BD188" s="246"/>
      <c r="BE188" s="246"/>
      <c r="BF188" s="246"/>
      <c r="BG188" s="246"/>
      <c r="BH188" s="246"/>
      <c r="BI188" s="246"/>
      <c r="BJ188" s="246"/>
      <c r="BK188" s="246"/>
      <c r="BL188" s="246"/>
      <c r="BM188" s="246"/>
      <c r="BN188" s="246"/>
      <c r="BO188" s="246"/>
      <c r="BP188" s="246"/>
      <c r="BQ188" s="246"/>
      <c r="BR188" s="246"/>
      <c r="BS188" s="246"/>
      <c r="BT188" s="246"/>
      <c r="BU188" s="246"/>
      <c r="BV188" s="246"/>
      <c r="BW188" s="246"/>
      <c r="BX188" s="246"/>
      <c r="BY188" s="246"/>
      <c r="BZ188" s="246"/>
      <c r="CA188" s="246"/>
      <c r="CB188" s="246"/>
      <c r="CC188" s="246"/>
      <c r="CD188" s="246"/>
      <c r="CE188" s="246"/>
      <c r="CF188" s="246"/>
      <c r="CG188" s="246"/>
      <c r="CH188" s="246"/>
      <c r="CI188" s="246"/>
      <c r="CJ188" s="246"/>
      <c r="CK188" s="246"/>
      <c r="CL188" s="246"/>
      <c r="CM188" s="246"/>
      <c r="CN188" s="246"/>
      <c r="CO188" s="246"/>
      <c r="CP188" s="246"/>
      <c r="CQ188" s="246"/>
      <c r="CR188" s="246"/>
      <c r="CS188" s="246"/>
      <c r="CT188" s="246"/>
      <c r="CU188" s="246"/>
      <c r="CV188" s="246"/>
      <c r="CW188" s="246"/>
      <c r="CX188" s="246"/>
      <c r="CY188" s="246"/>
      <c r="CZ188" s="246"/>
      <c r="DA188" s="246"/>
      <c r="DB188" s="246"/>
      <c r="DC188" s="246"/>
      <c r="DD188" s="246"/>
      <c r="DE188" s="246"/>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246"/>
      <c r="EB188" s="246"/>
      <c r="EC188" s="246"/>
      <c r="ED188" s="246"/>
      <c r="EE188" s="246"/>
      <c r="EF188" s="246"/>
      <c r="EG188" s="246"/>
      <c r="EH188" s="246"/>
      <c r="EI188" s="246"/>
      <c r="EJ188" s="246"/>
      <c r="EK188" s="246"/>
      <c r="EL188" s="246"/>
      <c r="EM188" s="246"/>
      <c r="EN188" s="246"/>
      <c r="EO188" s="246"/>
      <c r="EP188" s="246"/>
      <c r="EQ188" s="246"/>
      <c r="ER188" s="246"/>
      <c r="ES188" s="246"/>
      <c r="ET188" s="246"/>
      <c r="EU188" s="246"/>
      <c r="EV188" s="246"/>
      <c r="EW188" s="246"/>
      <c r="EX188" s="246"/>
      <c r="EY188" s="246"/>
      <c r="EZ188" s="246"/>
      <c r="FA188" s="246"/>
      <c r="FB188" s="246"/>
      <c r="FC188" s="246"/>
      <c r="FD188" s="246"/>
      <c r="FE188" s="246"/>
      <c r="FF188" s="246"/>
      <c r="FG188" s="246"/>
      <c r="FH188" s="246"/>
      <c r="FI188" s="246"/>
      <c r="FJ188" s="246"/>
      <c r="FK188" s="246"/>
      <c r="FL188" s="246"/>
      <c r="FM188" s="246"/>
      <c r="FN188" s="246"/>
      <c r="FO188" s="246"/>
      <c r="FP188" s="246"/>
      <c r="FQ188" s="246"/>
      <c r="FR188" s="246"/>
      <c r="FS188" s="246"/>
      <c r="FT188" s="246"/>
      <c r="FU188" s="246"/>
      <c r="FV188" s="246"/>
      <c r="FW188" s="246"/>
      <c r="FX188" s="246"/>
      <c r="FY188" s="246"/>
      <c r="FZ188" s="246"/>
      <c r="GA188" s="246"/>
      <c r="GB188" s="246"/>
      <c r="GC188" s="246"/>
      <c r="GD188" s="246"/>
      <c r="GE188" s="246"/>
      <c r="GF188" s="246"/>
      <c r="GG188" s="246"/>
      <c r="GH188" s="246"/>
      <c r="GI188" s="246"/>
      <c r="GJ188" s="246"/>
      <c r="GK188" s="246"/>
      <c r="GL188" s="246"/>
      <c r="GM188" s="246"/>
      <c r="GN188" s="246"/>
      <c r="GO188" s="246"/>
      <c r="GP188" s="246"/>
      <c r="GQ188" s="246"/>
      <c r="GR188" s="246"/>
      <c r="GS188" s="246"/>
      <c r="GT188" s="246"/>
      <c r="GU188" s="246"/>
      <c r="GV188" s="246"/>
      <c r="GW188" s="246"/>
      <c r="GX188" s="246"/>
      <c r="GY188" s="246"/>
      <c r="GZ188" s="246"/>
      <c r="HA188" s="246"/>
      <c r="HB188" s="246"/>
      <c r="HC188" s="246"/>
      <c r="HD188" s="246"/>
      <c r="HE188" s="246"/>
      <c r="HF188" s="246"/>
      <c r="HG188" s="246"/>
      <c r="HH188" s="246"/>
      <c r="HI188" s="246"/>
      <c r="HJ188" s="246"/>
      <c r="HK188" s="246"/>
      <c r="HL188" s="246"/>
      <c r="HM188" s="246"/>
      <c r="HN188" s="246"/>
      <c r="HO188" s="246"/>
      <c r="HP188" s="246"/>
      <c r="HQ188" s="246"/>
      <c r="HR188" s="246"/>
      <c r="HS188" s="246"/>
      <c r="HT188" s="246"/>
      <c r="HU188" s="246"/>
      <c r="HV188" s="246"/>
      <c r="HW188" s="246"/>
      <c r="HX188" s="246"/>
      <c r="HY188" s="246"/>
      <c r="HZ188" s="246"/>
      <c r="IA188" s="246"/>
      <c r="IB188" s="246"/>
      <c r="IC188" s="246"/>
      <c r="ID188" s="246"/>
      <c r="IE188" s="246"/>
      <c r="IF188" s="246"/>
      <c r="IG188" s="246"/>
      <c r="IH188" s="246"/>
      <c r="II188" s="246"/>
      <c r="IJ188" s="246"/>
      <c r="IK188" s="246"/>
      <c r="IL188" s="246"/>
      <c r="IM188" s="246"/>
      <c r="IN188" s="246"/>
      <c r="IO188" s="246"/>
      <c r="IP188" s="246"/>
      <c r="IQ188" s="246"/>
      <c r="IR188" s="246"/>
      <c r="IS188" s="246"/>
      <c r="IT188" s="246"/>
      <c r="IU188" s="246"/>
      <c r="IV188" s="246"/>
      <c r="IW188" s="246"/>
      <c r="IX188" s="246"/>
      <c r="IY188" s="246"/>
      <c r="IZ188" s="246"/>
      <c r="JA188" s="246"/>
      <c r="JB188" s="246"/>
      <c r="JC188" s="246"/>
      <c r="JD188" s="246"/>
      <c r="JE188" s="246"/>
      <c r="JF188" s="246"/>
      <c r="JG188" s="246"/>
      <c r="JH188" s="246"/>
      <c r="JI188" s="246"/>
      <c r="JJ188" s="246"/>
      <c r="JK188" s="246"/>
      <c r="JL188" s="246"/>
      <c r="JM188" s="246"/>
      <c r="JN188" s="246"/>
      <c r="JO188" s="246"/>
      <c r="JP188" s="246"/>
      <c r="JQ188" s="246"/>
      <c r="JR188" s="246"/>
      <c r="JS188" s="246"/>
      <c r="JT188" s="246"/>
      <c r="JU188" s="246"/>
      <c r="JV188" s="246"/>
      <c r="JW188" s="246"/>
      <c r="JX188" s="246"/>
      <c r="JY188" s="246"/>
      <c r="JZ188" s="246"/>
      <c r="KA188" s="246"/>
      <c r="KB188" s="246"/>
      <c r="KC188" s="246"/>
      <c r="KD188" s="246"/>
      <c r="KE188" s="246"/>
      <c r="KF188" s="246"/>
      <c r="KG188" s="246"/>
      <c r="KH188" s="246"/>
      <c r="KI188" s="246"/>
      <c r="KJ188" s="246"/>
      <c r="KK188" s="246"/>
      <c r="KL188" s="246"/>
      <c r="KM188" s="246"/>
      <c r="KN188" s="246"/>
      <c r="KO188" s="246"/>
      <c r="KP188" s="246"/>
      <c r="KQ188" s="246"/>
      <c r="KR188" s="246"/>
      <c r="KS188" s="246"/>
      <c r="KT188" s="246"/>
      <c r="KU188" s="246"/>
      <c r="KV188" s="246"/>
      <c r="KW188" s="246"/>
      <c r="KX188" s="246"/>
      <c r="KY188" s="246"/>
      <c r="KZ188" s="246"/>
      <c r="LA188" s="246"/>
      <c r="LB188" s="246"/>
      <c r="LC188" s="246"/>
      <c r="LD188" s="246"/>
      <c r="LE188" s="246"/>
      <c r="LF188" s="246"/>
      <c r="LG188" s="246"/>
      <c r="LH188" s="246"/>
      <c r="LI188" s="246"/>
      <c r="LJ188" s="246"/>
      <c r="LK188" s="246"/>
      <c r="LL188" s="246"/>
      <c r="LM188" s="246"/>
      <c r="LN188" s="246"/>
      <c r="LO188" s="246"/>
      <c r="LP188" s="246"/>
      <c r="LQ188" s="246"/>
      <c r="LR188" s="246"/>
      <c r="LS188" s="246"/>
      <c r="LT188" s="246"/>
      <c r="LU188" s="246"/>
      <c r="LV188" s="246"/>
      <c r="LW188" s="246"/>
      <c r="LX188" s="246"/>
      <c r="LY188" s="246"/>
      <c r="LZ188" s="246"/>
      <c r="MA188" s="246"/>
      <c r="MB188" s="246"/>
      <c r="MC188" s="246"/>
      <c r="MD188" s="246"/>
      <c r="ME188" s="246"/>
      <c r="MF188" s="246"/>
      <c r="MG188" s="246"/>
      <c r="MH188" s="246"/>
      <c r="MI188" s="246"/>
      <c r="MJ188" s="246"/>
      <c r="MK188" s="246"/>
      <c r="ML188" s="246"/>
      <c r="MM188" s="246"/>
      <c r="MN188" s="246"/>
      <c r="MO188" s="246"/>
      <c r="MP188" s="246"/>
      <c r="MQ188" s="246"/>
      <c r="MR188" s="246"/>
      <c r="MS188" s="246"/>
      <c r="MT188" s="246"/>
      <c r="MU188" s="246"/>
      <c r="MV188" s="246"/>
      <c r="MW188" s="246"/>
      <c r="MX188" s="246"/>
      <c r="MY188" s="246"/>
      <c r="MZ188" s="246"/>
      <c r="NA188" s="246"/>
      <c r="NB188" s="246"/>
      <c r="NC188" s="246"/>
      <c r="ND188" s="246"/>
      <c r="NE188" s="246"/>
      <c r="NF188" s="246"/>
      <c r="NG188" s="246"/>
      <c r="NH188" s="246"/>
      <c r="NI188" s="246"/>
      <c r="NJ188" s="246"/>
      <c r="NK188" s="246"/>
      <c r="NL188" s="246"/>
      <c r="NM188" s="246"/>
      <c r="NN188" s="246"/>
      <c r="NO188" s="246"/>
      <c r="NP188" s="246"/>
      <c r="NQ188" s="246"/>
      <c r="NR188" s="246"/>
      <c r="NS188" s="246"/>
      <c r="NT188" s="246"/>
      <c r="NU188" s="246"/>
      <c r="NV188" s="246"/>
      <c r="NW188" s="246"/>
      <c r="NX188" s="246"/>
      <c r="NY188" s="246"/>
      <c r="NZ188" s="246"/>
      <c r="OA188" s="246"/>
      <c r="OB188" s="246"/>
      <c r="OC188" s="246"/>
      <c r="OD188" s="246"/>
      <c r="OE188" s="246"/>
      <c r="OF188" s="246"/>
      <c r="OG188" s="246"/>
      <c r="OH188" s="246"/>
      <c r="OI188" s="246"/>
      <c r="OJ188" s="246"/>
      <c r="OK188" s="246"/>
      <c r="OL188" s="246"/>
      <c r="OM188" s="246"/>
      <c r="ON188" s="246"/>
      <c r="OO188" s="246"/>
      <c r="OP188" s="246"/>
      <c r="OQ188" s="246"/>
      <c r="OR188" s="246"/>
      <c r="OS188" s="246"/>
      <c r="OT188" s="246"/>
      <c r="OU188" s="246"/>
      <c r="OV188" s="246"/>
      <c r="OW188" s="246"/>
      <c r="OX188" s="246"/>
      <c r="OY188" s="246"/>
      <c r="OZ188" s="246"/>
      <c r="PA188" s="246"/>
      <c r="PB188" s="246"/>
      <c r="PC188" s="246"/>
      <c r="PD188" s="246"/>
      <c r="PE188" s="246"/>
      <c r="PF188" s="246"/>
      <c r="PG188" s="246"/>
      <c r="PH188" s="246"/>
      <c r="PI188" s="246"/>
      <c r="PJ188" s="246"/>
      <c r="PK188" s="246"/>
      <c r="PL188" s="246"/>
      <c r="PM188" s="246"/>
      <c r="PN188" s="246"/>
      <c r="PO188" s="246"/>
      <c r="PP188" s="246"/>
      <c r="PQ188" s="246"/>
      <c r="PR188" s="246"/>
      <c r="PS188" s="246"/>
      <c r="PT188" s="246"/>
      <c r="PU188" s="246"/>
      <c r="PV188" s="246"/>
      <c r="PW188" s="246"/>
      <c r="PX188" s="246"/>
      <c r="PY188" s="246"/>
      <c r="PZ188" s="246"/>
      <c r="QA188" s="246"/>
      <c r="QB188" s="246"/>
      <c r="QC188" s="246"/>
      <c r="QD188" s="246"/>
      <c r="QE188" s="246"/>
      <c r="QF188" s="246"/>
      <c r="QG188" s="246"/>
      <c r="QH188" s="246"/>
      <c r="QI188" s="246"/>
      <c r="QJ188" s="246"/>
      <c r="QK188" s="246"/>
      <c r="QL188" s="246"/>
      <c r="QM188" s="246"/>
      <c r="QN188" s="246"/>
      <c r="QO188" s="246"/>
      <c r="QP188" s="246"/>
      <c r="QQ188" s="246"/>
      <c r="QR188" s="246"/>
      <c r="QS188" s="246"/>
      <c r="QT188" s="246"/>
      <c r="QU188" s="246"/>
      <c r="QV188" s="246"/>
      <c r="QW188" s="246"/>
      <c r="QX188" s="246"/>
      <c r="QY188" s="246"/>
      <c r="QZ188" s="246"/>
      <c r="RA188" s="246"/>
      <c r="RB188" s="246"/>
      <c r="RC188" s="246"/>
      <c r="RD188" s="246"/>
      <c r="RE188" s="246"/>
      <c r="RF188" s="246"/>
      <c r="RG188" s="246"/>
      <c r="RH188" s="246"/>
      <c r="RI188" s="246"/>
      <c r="RJ188" s="246"/>
      <c r="RK188" s="246"/>
      <c r="RL188" s="246"/>
      <c r="RM188" s="246"/>
      <c r="RN188" s="246"/>
      <c r="RO188" s="246"/>
      <c r="RP188" s="246"/>
      <c r="RQ188" s="246"/>
      <c r="RR188" s="246"/>
      <c r="RS188" s="246"/>
      <c r="RT188" s="246"/>
      <c r="RU188" s="246"/>
      <c r="RV188" s="246"/>
      <c r="RW188" s="246"/>
      <c r="RX188" s="246"/>
      <c r="RY188" s="246"/>
      <c r="RZ188" s="246"/>
      <c r="SA188" s="246"/>
      <c r="SB188" s="246"/>
      <c r="SC188" s="246"/>
      <c r="SD188" s="246"/>
      <c r="SE188" s="246"/>
      <c r="SF188" s="246"/>
      <c r="SG188" s="246"/>
      <c r="SH188" s="246"/>
      <c r="SI188" s="246"/>
      <c r="SJ188" s="246"/>
      <c r="SK188" s="246"/>
      <c r="SL188" s="246"/>
      <c r="SM188" s="246"/>
      <c r="SN188" s="246"/>
      <c r="SO188" s="246"/>
      <c r="SP188" s="246"/>
      <c r="SQ188" s="246"/>
      <c r="SR188" s="246"/>
      <c r="SS188" s="246"/>
      <c r="ST188" s="246"/>
      <c r="SU188" s="246"/>
      <c r="SV188" s="246"/>
      <c r="SW188" s="246"/>
      <c r="SX188" s="246"/>
      <c r="SY188" s="246"/>
      <c r="SZ188" s="246"/>
      <c r="TA188" s="246"/>
      <c r="TB188" s="246"/>
      <c r="TC188" s="246"/>
      <c r="TD188" s="246"/>
      <c r="TE188" s="246"/>
      <c r="TF188" s="246"/>
      <c r="TG188" s="246"/>
      <c r="TH188" s="246"/>
      <c r="TI188" s="246"/>
      <c r="TJ188" s="246"/>
      <c r="TK188" s="246"/>
      <c r="TL188" s="246"/>
      <c r="TM188" s="246"/>
      <c r="TN188" s="246"/>
      <c r="TO188" s="246"/>
      <c r="TP188" s="246"/>
      <c r="TQ188" s="246"/>
      <c r="TR188" s="246"/>
      <c r="TS188" s="246"/>
      <c r="TT188" s="246"/>
      <c r="TU188" s="246"/>
      <c r="TV188" s="246"/>
      <c r="TW188" s="246"/>
      <c r="TX188" s="246"/>
      <c r="TY188" s="246"/>
      <c r="TZ188" s="246"/>
      <c r="UA188" s="246"/>
      <c r="UB188" s="246"/>
      <c r="UC188" s="246"/>
      <c r="UD188" s="246"/>
      <c r="UE188" s="246"/>
      <c r="UF188" s="246"/>
      <c r="UG188" s="246"/>
      <c r="UH188" s="246"/>
      <c r="UI188" s="246"/>
      <c r="UJ188" s="246"/>
      <c r="UK188" s="246"/>
      <c r="UL188" s="246"/>
      <c r="UM188" s="246"/>
      <c r="UN188" s="246"/>
      <c r="UO188" s="246"/>
      <c r="UP188" s="246"/>
      <c r="UQ188" s="246"/>
      <c r="UR188" s="246"/>
      <c r="US188" s="246"/>
      <c r="UT188" s="246"/>
      <c r="UU188" s="246"/>
      <c r="UV188" s="246"/>
      <c r="UW188" s="246"/>
      <c r="UX188" s="246"/>
      <c r="UY188" s="246"/>
      <c r="UZ188" s="246"/>
      <c r="VA188" s="246"/>
      <c r="VB188" s="246"/>
      <c r="VC188" s="246"/>
      <c r="VD188" s="246"/>
      <c r="VE188" s="246"/>
      <c r="VF188" s="246"/>
      <c r="VG188" s="246"/>
      <c r="VH188" s="246"/>
      <c r="VI188" s="246"/>
      <c r="VJ188" s="246"/>
      <c r="VK188" s="246"/>
      <c r="VL188" s="246"/>
      <c r="VM188" s="246"/>
      <c r="VN188" s="246"/>
      <c r="VO188" s="246"/>
      <c r="VP188" s="246"/>
      <c r="VQ188" s="246"/>
      <c r="VR188" s="246"/>
      <c r="VS188" s="246"/>
      <c r="VT188" s="246"/>
      <c r="VU188" s="246"/>
      <c r="VV188" s="246"/>
      <c r="VW188" s="246"/>
      <c r="VX188" s="246"/>
      <c r="VY188" s="246"/>
      <c r="VZ188" s="246"/>
      <c r="WA188" s="246"/>
      <c r="WB188" s="246"/>
      <c r="WC188" s="246"/>
      <c r="WD188" s="246"/>
      <c r="WE188" s="246"/>
      <c r="WF188" s="246"/>
      <c r="WG188" s="246"/>
      <c r="WH188" s="246"/>
      <c r="WI188" s="246"/>
      <c r="WJ188" s="246"/>
      <c r="WK188" s="246"/>
      <c r="WL188" s="246"/>
      <c r="WM188" s="246"/>
      <c r="WN188" s="246"/>
      <c r="WO188" s="246"/>
      <c r="WP188" s="246"/>
      <c r="WQ188" s="246"/>
      <c r="WR188" s="246"/>
      <c r="WS188" s="246"/>
      <c r="WT188" s="246"/>
      <c r="WU188" s="246"/>
      <c r="WV188" s="246"/>
      <c r="WW188" s="246"/>
      <c r="WX188" s="246"/>
      <c r="WY188" s="246"/>
      <c r="WZ188" s="246"/>
      <c r="XA188" s="246"/>
      <c r="XB188" s="246"/>
      <c r="XC188" s="246"/>
      <c r="XD188" s="246"/>
      <c r="XE188" s="246"/>
      <c r="XF188" s="246"/>
      <c r="XG188" s="246"/>
      <c r="XH188" s="246"/>
      <c r="XI188" s="246"/>
      <c r="XJ188" s="246"/>
      <c r="XK188" s="246"/>
      <c r="XL188" s="246"/>
      <c r="XM188" s="246"/>
      <c r="XN188" s="246"/>
      <c r="XO188" s="246"/>
      <c r="XP188" s="246"/>
      <c r="XQ188" s="246"/>
      <c r="XR188" s="246"/>
      <c r="XS188" s="246"/>
      <c r="XT188" s="246"/>
      <c r="XU188" s="246"/>
      <c r="XV188" s="246"/>
      <c r="XW188" s="246"/>
      <c r="XX188" s="246"/>
      <c r="XY188" s="246"/>
      <c r="XZ188" s="246"/>
      <c r="YA188" s="246"/>
      <c r="YB188" s="246"/>
      <c r="YC188" s="246"/>
      <c r="YD188" s="246"/>
      <c r="YE188" s="246"/>
      <c r="YF188" s="246"/>
      <c r="YG188" s="246"/>
      <c r="YH188" s="246"/>
      <c r="YI188" s="246"/>
      <c r="YJ188" s="246"/>
      <c r="YK188" s="246"/>
      <c r="YL188" s="246"/>
      <c r="YM188" s="246"/>
      <c r="YN188" s="246"/>
      <c r="YO188" s="246"/>
      <c r="YP188" s="246"/>
      <c r="YQ188" s="246"/>
      <c r="YR188" s="246"/>
      <c r="YS188" s="246"/>
      <c r="YT188" s="246"/>
      <c r="YU188" s="246"/>
      <c r="YV188" s="246"/>
      <c r="YW188" s="246"/>
      <c r="YX188" s="246"/>
      <c r="YY188" s="246"/>
      <c r="YZ188" s="246"/>
      <c r="ZA188" s="246"/>
      <c r="ZB188" s="246"/>
      <c r="ZC188" s="246"/>
      <c r="ZD188" s="246"/>
      <c r="ZE188" s="246"/>
      <c r="ZF188" s="246"/>
      <c r="ZG188" s="246"/>
      <c r="ZH188" s="246"/>
      <c r="ZI188" s="246"/>
      <c r="ZJ188" s="246"/>
      <c r="ZK188" s="246"/>
      <c r="ZL188" s="246"/>
      <c r="ZM188" s="246"/>
      <c r="ZN188" s="246"/>
      <c r="ZO188" s="246"/>
      <c r="ZP188" s="246"/>
      <c r="ZQ188" s="246"/>
      <c r="ZR188" s="246"/>
      <c r="ZS188" s="246"/>
      <c r="ZT188" s="246"/>
      <c r="ZU188" s="246"/>
      <c r="ZV188" s="246"/>
      <c r="ZW188" s="246"/>
      <c r="ZX188" s="246"/>
      <c r="ZY188" s="246"/>
      <c r="ZZ188" s="246"/>
      <c r="AAA188" s="246"/>
      <c r="AAB188" s="246"/>
      <c r="AAC188" s="246"/>
      <c r="AAD188" s="246"/>
      <c r="AAE188" s="246"/>
      <c r="AAF188" s="246"/>
      <c r="AAG188" s="246"/>
      <c r="AAH188" s="246"/>
      <c r="AAI188" s="246"/>
      <c r="AAJ188" s="246"/>
      <c r="AAK188" s="246"/>
      <c r="AAL188" s="246"/>
      <c r="AAM188" s="246"/>
      <c r="AAN188" s="246"/>
      <c r="AAO188" s="246"/>
      <c r="AAP188" s="246"/>
      <c r="AAQ188" s="246"/>
      <c r="AAR188" s="246"/>
      <c r="AAS188" s="246"/>
      <c r="AAT188" s="246"/>
      <c r="AAU188" s="246"/>
      <c r="AAV188" s="246"/>
      <c r="AAW188" s="246"/>
      <c r="AAX188" s="246"/>
      <c r="AAY188" s="246"/>
      <c r="AAZ188" s="246"/>
      <c r="ABA188" s="246"/>
      <c r="ABB188" s="246"/>
      <c r="ABC188" s="246"/>
      <c r="ABD188" s="246"/>
      <c r="ABE188" s="246"/>
      <c r="ABF188" s="246"/>
      <c r="ABG188" s="246"/>
      <c r="ABH188" s="246"/>
      <c r="ABI188" s="246"/>
      <c r="ABJ188" s="246"/>
      <c r="ABK188" s="246"/>
      <c r="ABL188" s="246"/>
      <c r="ABM188" s="246"/>
      <c r="ABN188" s="246"/>
      <c r="ABO188" s="246"/>
      <c r="ABP188" s="246"/>
      <c r="ABQ188" s="246"/>
      <c r="ABR188" s="246"/>
      <c r="ABS188" s="246"/>
      <c r="ABT188" s="246"/>
      <c r="ABU188" s="246"/>
      <c r="ABV188" s="246"/>
      <c r="ABW188" s="246"/>
      <c r="ABX188" s="246"/>
      <c r="ABY188" s="246"/>
      <c r="ABZ188" s="246"/>
      <c r="ACA188" s="246"/>
      <c r="ACB188" s="246"/>
      <c r="ACC188" s="246"/>
      <c r="ACD188" s="246"/>
      <c r="ACE188" s="246"/>
      <c r="ACF188" s="246"/>
      <c r="ACG188" s="246"/>
      <c r="ACH188" s="246"/>
      <c r="ACI188" s="246"/>
      <c r="ACJ188" s="246"/>
      <c r="ACK188" s="246"/>
      <c r="ACL188" s="246"/>
      <c r="ACM188" s="246"/>
      <c r="ACN188" s="246"/>
      <c r="ACO188" s="246"/>
      <c r="ACP188" s="246"/>
      <c r="ACQ188" s="246"/>
      <c r="ACR188" s="246"/>
      <c r="ACS188" s="246"/>
      <c r="ACT188" s="246"/>
      <c r="ACU188" s="246"/>
      <c r="ACV188" s="246"/>
      <c r="ACW188" s="246"/>
      <c r="ACX188" s="246"/>
      <c r="ACY188" s="246"/>
      <c r="ACZ188" s="246"/>
      <c r="ADA188" s="246"/>
      <c r="ADB188" s="246"/>
      <c r="ADC188" s="246"/>
      <c r="ADD188" s="246"/>
      <c r="ADE188" s="246"/>
      <c r="ADF188" s="246"/>
      <c r="ADG188" s="246"/>
      <c r="ADH188" s="246"/>
      <c r="ADI188" s="246"/>
      <c r="ADJ188" s="246"/>
      <c r="ADK188" s="246"/>
      <c r="ADL188" s="246"/>
      <c r="ADM188" s="246"/>
      <c r="ADN188" s="246"/>
      <c r="ADO188" s="246"/>
      <c r="ADP188" s="246"/>
      <c r="ADQ188" s="246"/>
      <c r="ADR188" s="246"/>
      <c r="ADS188" s="246"/>
      <c r="ADT188" s="246"/>
      <c r="ADU188" s="246"/>
      <c r="ADV188" s="246"/>
      <c r="ADW188" s="246"/>
      <c r="ADX188" s="246"/>
      <c r="ADY188" s="246"/>
      <c r="ADZ188" s="246"/>
      <c r="AEA188" s="246"/>
      <c r="AEB188" s="246"/>
      <c r="AEC188" s="246"/>
      <c r="AED188" s="246"/>
      <c r="AEE188" s="246"/>
      <c r="AEF188" s="246"/>
      <c r="AEG188" s="246"/>
      <c r="AEH188" s="246"/>
      <c r="AEI188" s="246"/>
      <c r="AEJ188" s="246"/>
      <c r="AEK188" s="246"/>
      <c r="AEL188" s="246"/>
      <c r="AEM188" s="246"/>
      <c r="AEN188" s="246"/>
      <c r="AEO188" s="246"/>
      <c r="AEP188" s="246"/>
      <c r="AEQ188" s="246"/>
      <c r="AER188" s="246"/>
      <c r="AES188" s="246"/>
      <c r="AET188" s="246"/>
      <c r="AEU188" s="246"/>
      <c r="AEV188" s="246"/>
      <c r="AEW188" s="246"/>
      <c r="AEX188" s="246"/>
      <c r="AEY188" s="246"/>
      <c r="AEZ188" s="246"/>
      <c r="AFA188" s="246"/>
      <c r="AFB188" s="246"/>
      <c r="AFC188" s="246"/>
      <c r="AFD188" s="246"/>
      <c r="AFE188" s="246"/>
      <c r="AFF188" s="246"/>
      <c r="AFG188" s="246"/>
      <c r="AFH188" s="246"/>
      <c r="AFI188" s="246"/>
      <c r="AFJ188" s="246"/>
      <c r="AFK188" s="246"/>
      <c r="AFL188" s="246"/>
      <c r="AFM188" s="246"/>
      <c r="AFN188" s="246"/>
      <c r="AFO188" s="246"/>
      <c r="AFP188" s="246"/>
      <c r="AFQ188" s="246"/>
      <c r="AFR188" s="246"/>
      <c r="AFS188" s="246"/>
      <c r="AFT188" s="246"/>
      <c r="AFU188" s="246"/>
      <c r="AFV188" s="246"/>
      <c r="AFW188" s="246"/>
      <c r="AFX188" s="246"/>
      <c r="AFY188" s="246"/>
      <c r="AFZ188" s="246"/>
      <c r="AGA188" s="246"/>
      <c r="AGB188" s="246"/>
    </row>
    <row r="189" spans="1:860" s="95" customFormat="1" ht="14.25" customHeight="1" x14ac:dyDescent="0.2">
      <c r="A189" s="226"/>
      <c r="B189" s="229"/>
      <c r="C189" s="309"/>
      <c r="D189" s="309"/>
      <c r="E189" s="309"/>
      <c r="F189" s="309"/>
      <c r="G189" s="309"/>
      <c r="H189" s="309"/>
      <c r="I189" s="227"/>
      <c r="J189" s="228"/>
      <c r="K189" s="229"/>
      <c r="L189" s="229"/>
      <c r="M189" s="230"/>
      <c r="N189" s="231"/>
      <c r="O189" s="229"/>
      <c r="P189" s="229"/>
      <c r="Q189" s="229"/>
      <c r="R189" s="228"/>
      <c r="S189" s="229"/>
      <c r="T189" s="229"/>
      <c r="U189" s="228"/>
      <c r="V189" s="228"/>
      <c r="W189" s="289"/>
      <c r="X189" s="228"/>
      <c r="Y189" s="232"/>
      <c r="Z189" s="232"/>
      <c r="AA189" s="233"/>
      <c r="AB189" s="234"/>
      <c r="AC189" s="228"/>
      <c r="AD189" s="228"/>
      <c r="AE189" s="309"/>
      <c r="AF189" s="309"/>
      <c r="AG189" s="309"/>
      <c r="AH189" s="309"/>
      <c r="AI189" s="357"/>
      <c r="AJ189" s="273"/>
      <c r="AK189" s="229"/>
      <c r="AM189" s="320"/>
      <c r="AN189" s="320"/>
      <c r="AO189" s="325"/>
      <c r="AP189" s="325"/>
      <c r="AQ189" s="325"/>
      <c r="AR189" s="246"/>
      <c r="AS189" s="246"/>
      <c r="AT189" s="246"/>
      <c r="AU189" s="246"/>
      <c r="AV189" s="246"/>
      <c r="AW189" s="246"/>
      <c r="AX189" s="246"/>
      <c r="AY189" s="246"/>
      <c r="AZ189" s="246"/>
      <c r="BA189" s="246"/>
      <c r="BB189" s="246"/>
      <c r="BC189" s="246"/>
      <c r="BD189" s="246"/>
      <c r="BE189" s="246"/>
      <c r="BF189" s="246"/>
      <c r="BG189" s="246"/>
      <c r="BH189" s="246"/>
      <c r="BI189" s="246"/>
      <c r="BJ189" s="246"/>
      <c r="BK189" s="246"/>
      <c r="BL189" s="246"/>
      <c r="BM189" s="246"/>
      <c r="BN189" s="246"/>
      <c r="BO189" s="246"/>
      <c r="BP189" s="246"/>
      <c r="BQ189" s="246"/>
      <c r="BR189" s="246"/>
      <c r="BS189" s="246"/>
      <c r="BT189" s="246"/>
      <c r="BU189" s="246"/>
      <c r="BV189" s="246"/>
      <c r="BW189" s="246"/>
      <c r="BX189" s="246"/>
      <c r="BY189" s="246"/>
      <c r="BZ189" s="246"/>
      <c r="CA189" s="246"/>
      <c r="CB189" s="246"/>
      <c r="CC189" s="246"/>
      <c r="CD189" s="246"/>
      <c r="CE189" s="246"/>
      <c r="CF189" s="246"/>
      <c r="CG189" s="246"/>
      <c r="CH189" s="246"/>
      <c r="CI189" s="246"/>
      <c r="CJ189" s="246"/>
      <c r="CK189" s="246"/>
      <c r="CL189" s="246"/>
      <c r="CM189" s="246"/>
      <c r="CN189" s="246"/>
      <c r="CO189" s="246"/>
      <c r="CP189" s="246"/>
      <c r="CQ189" s="246"/>
      <c r="CR189" s="246"/>
      <c r="CS189" s="246"/>
      <c r="CT189" s="246"/>
      <c r="CU189" s="246"/>
      <c r="CV189" s="246"/>
      <c r="CW189" s="246"/>
      <c r="CX189" s="246"/>
      <c r="CY189" s="246"/>
      <c r="CZ189" s="246"/>
      <c r="DA189" s="246"/>
      <c r="DB189" s="246"/>
      <c r="DC189" s="246"/>
      <c r="DD189" s="246"/>
      <c r="DE189" s="246"/>
      <c r="DF189" s="246"/>
      <c r="DG189" s="246"/>
      <c r="DH189" s="246"/>
      <c r="DI189" s="246"/>
      <c r="DJ189" s="246"/>
      <c r="DK189" s="246"/>
      <c r="DL189" s="246"/>
      <c r="DM189" s="246"/>
      <c r="DN189" s="246"/>
      <c r="DO189" s="246"/>
      <c r="DP189" s="246"/>
      <c r="DQ189" s="246"/>
      <c r="DR189" s="246"/>
      <c r="DS189" s="246"/>
      <c r="DT189" s="246"/>
      <c r="DU189" s="246"/>
      <c r="DV189" s="246"/>
      <c r="DW189" s="246"/>
      <c r="DX189" s="246"/>
      <c r="DY189" s="246"/>
      <c r="DZ189" s="246"/>
      <c r="EA189" s="246"/>
      <c r="EB189" s="246"/>
      <c r="EC189" s="246"/>
      <c r="ED189" s="246"/>
      <c r="EE189" s="246"/>
      <c r="EF189" s="246"/>
      <c r="EG189" s="246"/>
      <c r="EH189" s="246"/>
      <c r="EI189" s="246"/>
      <c r="EJ189" s="246"/>
      <c r="EK189" s="246"/>
      <c r="EL189" s="246"/>
      <c r="EM189" s="246"/>
      <c r="EN189" s="246"/>
      <c r="EO189" s="246"/>
      <c r="EP189" s="246"/>
      <c r="EQ189" s="246"/>
      <c r="ER189" s="246"/>
      <c r="ES189" s="246"/>
      <c r="ET189" s="246"/>
      <c r="EU189" s="246"/>
      <c r="EV189" s="246"/>
      <c r="EW189" s="246"/>
      <c r="EX189" s="246"/>
      <c r="EY189" s="246"/>
      <c r="EZ189" s="246"/>
      <c r="FA189" s="246"/>
      <c r="FB189" s="246"/>
      <c r="FC189" s="246"/>
      <c r="FD189" s="246"/>
      <c r="FE189" s="246"/>
      <c r="FF189" s="246"/>
      <c r="FG189" s="246"/>
      <c r="FH189" s="246"/>
      <c r="FI189" s="246"/>
      <c r="FJ189" s="246"/>
      <c r="FK189" s="246"/>
      <c r="FL189" s="246"/>
      <c r="FM189" s="246"/>
      <c r="FN189" s="246"/>
      <c r="FO189" s="246"/>
      <c r="FP189" s="246"/>
      <c r="FQ189" s="246"/>
      <c r="FR189" s="246"/>
      <c r="FS189" s="246"/>
      <c r="FT189" s="246"/>
      <c r="FU189" s="246"/>
      <c r="FV189" s="246"/>
      <c r="FW189" s="246"/>
      <c r="FX189" s="246"/>
      <c r="FY189" s="246"/>
      <c r="FZ189" s="246"/>
      <c r="GA189" s="246"/>
      <c r="GB189" s="246"/>
      <c r="GC189" s="246"/>
      <c r="GD189" s="246"/>
      <c r="GE189" s="246"/>
      <c r="GF189" s="246"/>
      <c r="GG189" s="246"/>
      <c r="GH189" s="246"/>
      <c r="GI189" s="246"/>
      <c r="GJ189" s="246"/>
      <c r="GK189" s="246"/>
      <c r="GL189" s="246"/>
      <c r="GM189" s="246"/>
      <c r="GN189" s="246"/>
      <c r="GO189" s="246"/>
      <c r="GP189" s="246"/>
      <c r="GQ189" s="246"/>
      <c r="GR189" s="246"/>
      <c r="GS189" s="246"/>
      <c r="GT189" s="246"/>
      <c r="GU189" s="246"/>
      <c r="GV189" s="246"/>
      <c r="GW189" s="246"/>
      <c r="GX189" s="246"/>
      <c r="GY189" s="246"/>
      <c r="GZ189" s="246"/>
      <c r="HA189" s="246"/>
      <c r="HB189" s="246"/>
      <c r="HC189" s="246"/>
      <c r="HD189" s="246"/>
      <c r="HE189" s="246"/>
      <c r="HF189" s="246"/>
      <c r="HG189" s="246"/>
      <c r="HH189" s="246"/>
      <c r="HI189" s="246"/>
      <c r="HJ189" s="246"/>
      <c r="HK189" s="246"/>
      <c r="HL189" s="246"/>
      <c r="HM189" s="246"/>
      <c r="HN189" s="246"/>
      <c r="HO189" s="246"/>
      <c r="HP189" s="246"/>
      <c r="HQ189" s="246"/>
      <c r="HR189" s="246"/>
      <c r="HS189" s="246"/>
      <c r="HT189" s="246"/>
      <c r="HU189" s="246"/>
      <c r="HV189" s="246"/>
      <c r="HW189" s="246"/>
      <c r="HX189" s="246"/>
      <c r="HY189" s="246"/>
      <c r="HZ189" s="246"/>
      <c r="IA189" s="246"/>
      <c r="IB189" s="246"/>
      <c r="IC189" s="246"/>
      <c r="ID189" s="246"/>
      <c r="IE189" s="246"/>
      <c r="IF189" s="246"/>
      <c r="IG189" s="246"/>
      <c r="IH189" s="246"/>
      <c r="II189" s="246"/>
      <c r="IJ189" s="246"/>
      <c r="IK189" s="246"/>
      <c r="IL189" s="246"/>
      <c r="IM189" s="246"/>
      <c r="IN189" s="246"/>
      <c r="IO189" s="246"/>
      <c r="IP189" s="246"/>
      <c r="IQ189" s="246"/>
      <c r="IR189" s="246"/>
      <c r="IS189" s="246"/>
      <c r="IT189" s="246"/>
      <c r="IU189" s="246"/>
      <c r="IV189" s="246"/>
      <c r="IW189" s="246"/>
      <c r="IX189" s="246"/>
      <c r="IY189" s="246"/>
      <c r="IZ189" s="246"/>
      <c r="JA189" s="246"/>
      <c r="JB189" s="246"/>
      <c r="JC189" s="246"/>
      <c r="JD189" s="246"/>
      <c r="JE189" s="246"/>
      <c r="JF189" s="246"/>
      <c r="JG189" s="246"/>
      <c r="JH189" s="246"/>
      <c r="JI189" s="246"/>
      <c r="JJ189" s="246"/>
      <c r="JK189" s="246"/>
      <c r="JL189" s="246"/>
      <c r="JM189" s="246"/>
      <c r="JN189" s="246"/>
      <c r="JO189" s="246"/>
      <c r="JP189" s="246"/>
      <c r="JQ189" s="246"/>
      <c r="JR189" s="246"/>
      <c r="JS189" s="246"/>
      <c r="JT189" s="246"/>
      <c r="JU189" s="246"/>
      <c r="JV189" s="246"/>
      <c r="JW189" s="246"/>
      <c r="JX189" s="246"/>
      <c r="JY189" s="246"/>
      <c r="JZ189" s="246"/>
      <c r="KA189" s="246"/>
      <c r="KB189" s="246"/>
      <c r="KC189" s="246"/>
      <c r="KD189" s="246"/>
      <c r="KE189" s="246"/>
      <c r="KF189" s="246"/>
      <c r="KG189" s="246"/>
      <c r="KH189" s="246"/>
      <c r="KI189" s="246"/>
      <c r="KJ189" s="246"/>
      <c r="KK189" s="246"/>
      <c r="KL189" s="246"/>
      <c r="KM189" s="246"/>
      <c r="KN189" s="246"/>
      <c r="KO189" s="246"/>
      <c r="KP189" s="246"/>
      <c r="KQ189" s="246"/>
      <c r="KR189" s="246"/>
      <c r="KS189" s="246"/>
      <c r="KT189" s="246"/>
      <c r="KU189" s="246"/>
      <c r="KV189" s="246"/>
      <c r="KW189" s="246"/>
      <c r="KX189" s="246"/>
      <c r="KY189" s="246"/>
      <c r="KZ189" s="246"/>
      <c r="LA189" s="246"/>
      <c r="LB189" s="246"/>
      <c r="LC189" s="246"/>
      <c r="LD189" s="246"/>
      <c r="LE189" s="246"/>
      <c r="LF189" s="246"/>
      <c r="LG189" s="246"/>
      <c r="LH189" s="246"/>
      <c r="LI189" s="246"/>
      <c r="LJ189" s="246"/>
      <c r="LK189" s="246"/>
      <c r="LL189" s="246"/>
      <c r="LM189" s="246"/>
      <c r="LN189" s="246"/>
      <c r="LO189" s="246"/>
      <c r="LP189" s="246"/>
      <c r="LQ189" s="246"/>
      <c r="LR189" s="246"/>
      <c r="LS189" s="246"/>
      <c r="LT189" s="246"/>
      <c r="LU189" s="246"/>
      <c r="LV189" s="246"/>
      <c r="LW189" s="246"/>
      <c r="LX189" s="246"/>
      <c r="LY189" s="246"/>
      <c r="LZ189" s="246"/>
      <c r="MA189" s="246"/>
      <c r="MB189" s="246"/>
      <c r="MC189" s="246"/>
      <c r="MD189" s="246"/>
      <c r="ME189" s="246"/>
      <c r="MF189" s="246"/>
      <c r="MG189" s="246"/>
      <c r="MH189" s="246"/>
      <c r="MI189" s="246"/>
      <c r="MJ189" s="246"/>
      <c r="MK189" s="246"/>
      <c r="ML189" s="246"/>
      <c r="MM189" s="246"/>
      <c r="MN189" s="246"/>
      <c r="MO189" s="246"/>
      <c r="MP189" s="246"/>
      <c r="MQ189" s="246"/>
      <c r="MR189" s="246"/>
      <c r="MS189" s="246"/>
      <c r="MT189" s="246"/>
      <c r="MU189" s="246"/>
      <c r="MV189" s="246"/>
      <c r="MW189" s="246"/>
      <c r="MX189" s="246"/>
      <c r="MY189" s="246"/>
      <c r="MZ189" s="246"/>
      <c r="NA189" s="246"/>
      <c r="NB189" s="246"/>
      <c r="NC189" s="246"/>
      <c r="ND189" s="246"/>
      <c r="NE189" s="246"/>
      <c r="NF189" s="246"/>
      <c r="NG189" s="246"/>
      <c r="NH189" s="246"/>
      <c r="NI189" s="246"/>
      <c r="NJ189" s="246"/>
      <c r="NK189" s="246"/>
      <c r="NL189" s="246"/>
      <c r="NM189" s="246"/>
      <c r="NN189" s="246"/>
      <c r="NO189" s="246"/>
      <c r="NP189" s="246"/>
      <c r="NQ189" s="246"/>
      <c r="NR189" s="246"/>
      <c r="NS189" s="246"/>
      <c r="NT189" s="246"/>
      <c r="NU189" s="246"/>
      <c r="NV189" s="246"/>
      <c r="NW189" s="246"/>
      <c r="NX189" s="246"/>
      <c r="NY189" s="246"/>
      <c r="NZ189" s="246"/>
      <c r="OA189" s="246"/>
      <c r="OB189" s="246"/>
      <c r="OC189" s="246"/>
      <c r="OD189" s="246"/>
      <c r="OE189" s="246"/>
      <c r="OF189" s="246"/>
      <c r="OG189" s="246"/>
      <c r="OH189" s="246"/>
      <c r="OI189" s="246"/>
      <c r="OJ189" s="246"/>
      <c r="OK189" s="246"/>
      <c r="OL189" s="246"/>
      <c r="OM189" s="246"/>
      <c r="ON189" s="246"/>
      <c r="OO189" s="246"/>
      <c r="OP189" s="246"/>
      <c r="OQ189" s="246"/>
      <c r="OR189" s="246"/>
      <c r="OS189" s="246"/>
      <c r="OT189" s="246"/>
      <c r="OU189" s="246"/>
      <c r="OV189" s="246"/>
      <c r="OW189" s="246"/>
      <c r="OX189" s="246"/>
      <c r="OY189" s="246"/>
      <c r="OZ189" s="246"/>
      <c r="PA189" s="246"/>
      <c r="PB189" s="246"/>
      <c r="PC189" s="246"/>
      <c r="PD189" s="246"/>
      <c r="PE189" s="246"/>
      <c r="PF189" s="246"/>
      <c r="PG189" s="246"/>
      <c r="PH189" s="246"/>
      <c r="PI189" s="246"/>
      <c r="PJ189" s="246"/>
      <c r="PK189" s="246"/>
      <c r="PL189" s="246"/>
      <c r="PM189" s="246"/>
      <c r="PN189" s="246"/>
      <c r="PO189" s="246"/>
      <c r="PP189" s="246"/>
      <c r="PQ189" s="246"/>
      <c r="PR189" s="246"/>
      <c r="PS189" s="246"/>
      <c r="PT189" s="246"/>
      <c r="PU189" s="246"/>
      <c r="PV189" s="246"/>
      <c r="PW189" s="246"/>
      <c r="PX189" s="246"/>
      <c r="PY189" s="246"/>
      <c r="PZ189" s="246"/>
      <c r="QA189" s="246"/>
      <c r="QB189" s="246"/>
      <c r="QC189" s="246"/>
      <c r="QD189" s="246"/>
      <c r="QE189" s="246"/>
      <c r="QF189" s="246"/>
      <c r="QG189" s="246"/>
      <c r="QH189" s="246"/>
      <c r="QI189" s="246"/>
      <c r="QJ189" s="246"/>
      <c r="QK189" s="246"/>
      <c r="QL189" s="246"/>
      <c r="QM189" s="246"/>
      <c r="QN189" s="246"/>
      <c r="QO189" s="246"/>
      <c r="QP189" s="246"/>
      <c r="QQ189" s="246"/>
      <c r="QR189" s="246"/>
      <c r="QS189" s="246"/>
      <c r="QT189" s="246"/>
      <c r="QU189" s="246"/>
      <c r="QV189" s="246"/>
      <c r="QW189" s="246"/>
      <c r="QX189" s="246"/>
      <c r="QY189" s="246"/>
      <c r="QZ189" s="246"/>
      <c r="RA189" s="246"/>
      <c r="RB189" s="246"/>
      <c r="RC189" s="246"/>
      <c r="RD189" s="246"/>
      <c r="RE189" s="246"/>
      <c r="RF189" s="246"/>
      <c r="RG189" s="246"/>
      <c r="RH189" s="246"/>
      <c r="RI189" s="246"/>
      <c r="RJ189" s="246"/>
      <c r="RK189" s="246"/>
      <c r="RL189" s="246"/>
      <c r="RM189" s="246"/>
      <c r="RN189" s="246"/>
      <c r="RO189" s="246"/>
      <c r="RP189" s="246"/>
      <c r="RQ189" s="246"/>
      <c r="RR189" s="246"/>
      <c r="RS189" s="246"/>
      <c r="RT189" s="246"/>
      <c r="RU189" s="246"/>
      <c r="RV189" s="246"/>
      <c r="RW189" s="246"/>
      <c r="RX189" s="246"/>
      <c r="RY189" s="246"/>
      <c r="RZ189" s="246"/>
      <c r="SA189" s="246"/>
      <c r="SB189" s="246"/>
      <c r="SC189" s="246"/>
      <c r="SD189" s="246"/>
      <c r="SE189" s="246"/>
      <c r="SF189" s="246"/>
      <c r="SG189" s="246"/>
      <c r="SH189" s="246"/>
      <c r="SI189" s="246"/>
      <c r="SJ189" s="246"/>
      <c r="SK189" s="246"/>
      <c r="SL189" s="246"/>
      <c r="SM189" s="246"/>
      <c r="SN189" s="246"/>
      <c r="SO189" s="246"/>
      <c r="SP189" s="246"/>
      <c r="SQ189" s="246"/>
      <c r="SR189" s="246"/>
      <c r="SS189" s="246"/>
      <c r="ST189" s="246"/>
      <c r="SU189" s="246"/>
      <c r="SV189" s="246"/>
      <c r="SW189" s="246"/>
      <c r="SX189" s="246"/>
      <c r="SY189" s="246"/>
      <c r="SZ189" s="246"/>
      <c r="TA189" s="246"/>
      <c r="TB189" s="246"/>
      <c r="TC189" s="246"/>
      <c r="TD189" s="246"/>
      <c r="TE189" s="246"/>
      <c r="TF189" s="246"/>
      <c r="TG189" s="246"/>
      <c r="TH189" s="246"/>
      <c r="TI189" s="246"/>
      <c r="TJ189" s="246"/>
      <c r="TK189" s="246"/>
      <c r="TL189" s="246"/>
      <c r="TM189" s="246"/>
      <c r="TN189" s="246"/>
      <c r="TO189" s="246"/>
      <c r="TP189" s="246"/>
      <c r="TQ189" s="246"/>
      <c r="TR189" s="246"/>
      <c r="TS189" s="246"/>
      <c r="TT189" s="246"/>
      <c r="TU189" s="246"/>
      <c r="TV189" s="246"/>
      <c r="TW189" s="246"/>
      <c r="TX189" s="246"/>
      <c r="TY189" s="246"/>
      <c r="TZ189" s="246"/>
      <c r="UA189" s="246"/>
      <c r="UB189" s="246"/>
      <c r="UC189" s="246"/>
      <c r="UD189" s="246"/>
      <c r="UE189" s="246"/>
      <c r="UF189" s="246"/>
      <c r="UG189" s="246"/>
      <c r="UH189" s="246"/>
      <c r="UI189" s="246"/>
      <c r="UJ189" s="246"/>
      <c r="UK189" s="246"/>
      <c r="UL189" s="246"/>
      <c r="UM189" s="246"/>
      <c r="UN189" s="246"/>
      <c r="UO189" s="246"/>
      <c r="UP189" s="246"/>
      <c r="UQ189" s="246"/>
      <c r="UR189" s="246"/>
      <c r="US189" s="246"/>
      <c r="UT189" s="246"/>
      <c r="UU189" s="246"/>
      <c r="UV189" s="246"/>
      <c r="UW189" s="246"/>
      <c r="UX189" s="246"/>
      <c r="UY189" s="246"/>
      <c r="UZ189" s="246"/>
      <c r="VA189" s="246"/>
      <c r="VB189" s="246"/>
      <c r="VC189" s="246"/>
      <c r="VD189" s="246"/>
      <c r="VE189" s="246"/>
      <c r="VF189" s="246"/>
      <c r="VG189" s="246"/>
      <c r="VH189" s="246"/>
      <c r="VI189" s="246"/>
      <c r="VJ189" s="246"/>
      <c r="VK189" s="246"/>
      <c r="VL189" s="246"/>
      <c r="VM189" s="246"/>
      <c r="VN189" s="246"/>
      <c r="VO189" s="246"/>
      <c r="VP189" s="246"/>
      <c r="VQ189" s="246"/>
      <c r="VR189" s="246"/>
      <c r="VS189" s="246"/>
      <c r="VT189" s="246"/>
      <c r="VU189" s="246"/>
      <c r="VV189" s="246"/>
      <c r="VW189" s="246"/>
      <c r="VX189" s="246"/>
      <c r="VY189" s="246"/>
      <c r="VZ189" s="246"/>
      <c r="WA189" s="246"/>
      <c r="WB189" s="246"/>
      <c r="WC189" s="246"/>
      <c r="WD189" s="246"/>
      <c r="WE189" s="246"/>
      <c r="WF189" s="246"/>
      <c r="WG189" s="246"/>
      <c r="WH189" s="246"/>
      <c r="WI189" s="246"/>
      <c r="WJ189" s="246"/>
      <c r="WK189" s="246"/>
      <c r="WL189" s="246"/>
      <c r="WM189" s="246"/>
      <c r="WN189" s="246"/>
      <c r="WO189" s="246"/>
      <c r="WP189" s="246"/>
      <c r="WQ189" s="246"/>
      <c r="WR189" s="246"/>
      <c r="WS189" s="246"/>
      <c r="WT189" s="246"/>
      <c r="WU189" s="246"/>
      <c r="WV189" s="246"/>
      <c r="WW189" s="246"/>
      <c r="WX189" s="246"/>
      <c r="WY189" s="246"/>
      <c r="WZ189" s="246"/>
      <c r="XA189" s="246"/>
      <c r="XB189" s="246"/>
      <c r="XC189" s="246"/>
      <c r="XD189" s="246"/>
      <c r="XE189" s="246"/>
      <c r="XF189" s="246"/>
      <c r="XG189" s="246"/>
      <c r="XH189" s="246"/>
      <c r="XI189" s="246"/>
      <c r="XJ189" s="246"/>
      <c r="XK189" s="246"/>
      <c r="XL189" s="246"/>
      <c r="XM189" s="246"/>
      <c r="XN189" s="246"/>
      <c r="XO189" s="246"/>
      <c r="XP189" s="246"/>
      <c r="XQ189" s="246"/>
      <c r="XR189" s="246"/>
      <c r="XS189" s="246"/>
      <c r="XT189" s="246"/>
      <c r="XU189" s="246"/>
      <c r="XV189" s="246"/>
      <c r="XW189" s="246"/>
      <c r="XX189" s="246"/>
      <c r="XY189" s="246"/>
      <c r="XZ189" s="246"/>
      <c r="YA189" s="246"/>
      <c r="YB189" s="246"/>
      <c r="YC189" s="246"/>
      <c r="YD189" s="246"/>
      <c r="YE189" s="246"/>
      <c r="YF189" s="246"/>
      <c r="YG189" s="246"/>
      <c r="YH189" s="246"/>
      <c r="YI189" s="246"/>
      <c r="YJ189" s="246"/>
      <c r="YK189" s="246"/>
      <c r="YL189" s="246"/>
      <c r="YM189" s="246"/>
      <c r="YN189" s="246"/>
      <c r="YO189" s="246"/>
      <c r="YP189" s="246"/>
      <c r="YQ189" s="246"/>
      <c r="YR189" s="246"/>
      <c r="YS189" s="246"/>
      <c r="YT189" s="246"/>
      <c r="YU189" s="246"/>
      <c r="YV189" s="246"/>
      <c r="YW189" s="246"/>
      <c r="YX189" s="246"/>
      <c r="YY189" s="246"/>
      <c r="YZ189" s="246"/>
      <c r="ZA189" s="246"/>
      <c r="ZB189" s="246"/>
      <c r="ZC189" s="246"/>
      <c r="ZD189" s="246"/>
      <c r="ZE189" s="246"/>
      <c r="ZF189" s="246"/>
      <c r="ZG189" s="246"/>
      <c r="ZH189" s="246"/>
      <c r="ZI189" s="246"/>
      <c r="ZJ189" s="246"/>
      <c r="ZK189" s="246"/>
      <c r="ZL189" s="246"/>
      <c r="ZM189" s="246"/>
      <c r="ZN189" s="246"/>
      <c r="ZO189" s="246"/>
      <c r="ZP189" s="246"/>
      <c r="ZQ189" s="246"/>
      <c r="ZR189" s="246"/>
      <c r="ZS189" s="246"/>
      <c r="ZT189" s="246"/>
      <c r="ZU189" s="246"/>
      <c r="ZV189" s="246"/>
      <c r="ZW189" s="246"/>
      <c r="ZX189" s="246"/>
      <c r="ZY189" s="246"/>
      <c r="ZZ189" s="246"/>
      <c r="AAA189" s="246"/>
      <c r="AAB189" s="246"/>
      <c r="AAC189" s="246"/>
      <c r="AAD189" s="246"/>
      <c r="AAE189" s="246"/>
      <c r="AAF189" s="246"/>
      <c r="AAG189" s="246"/>
      <c r="AAH189" s="246"/>
      <c r="AAI189" s="246"/>
      <c r="AAJ189" s="246"/>
      <c r="AAK189" s="246"/>
      <c r="AAL189" s="246"/>
      <c r="AAM189" s="246"/>
      <c r="AAN189" s="246"/>
      <c r="AAO189" s="246"/>
      <c r="AAP189" s="246"/>
      <c r="AAQ189" s="246"/>
      <c r="AAR189" s="246"/>
      <c r="AAS189" s="246"/>
      <c r="AAT189" s="246"/>
      <c r="AAU189" s="246"/>
      <c r="AAV189" s="246"/>
      <c r="AAW189" s="246"/>
      <c r="AAX189" s="246"/>
      <c r="AAY189" s="246"/>
      <c r="AAZ189" s="246"/>
      <c r="ABA189" s="246"/>
      <c r="ABB189" s="246"/>
      <c r="ABC189" s="246"/>
      <c r="ABD189" s="246"/>
      <c r="ABE189" s="246"/>
      <c r="ABF189" s="246"/>
      <c r="ABG189" s="246"/>
      <c r="ABH189" s="246"/>
      <c r="ABI189" s="246"/>
      <c r="ABJ189" s="246"/>
      <c r="ABK189" s="246"/>
      <c r="ABL189" s="246"/>
      <c r="ABM189" s="246"/>
      <c r="ABN189" s="246"/>
      <c r="ABO189" s="246"/>
      <c r="ABP189" s="246"/>
      <c r="ABQ189" s="246"/>
      <c r="ABR189" s="246"/>
      <c r="ABS189" s="246"/>
      <c r="ABT189" s="246"/>
      <c r="ABU189" s="246"/>
      <c r="ABV189" s="246"/>
      <c r="ABW189" s="246"/>
      <c r="ABX189" s="246"/>
      <c r="ABY189" s="246"/>
      <c r="ABZ189" s="246"/>
      <c r="ACA189" s="246"/>
      <c r="ACB189" s="246"/>
      <c r="ACC189" s="246"/>
      <c r="ACD189" s="246"/>
      <c r="ACE189" s="246"/>
      <c r="ACF189" s="246"/>
      <c r="ACG189" s="246"/>
      <c r="ACH189" s="246"/>
      <c r="ACI189" s="246"/>
      <c r="ACJ189" s="246"/>
      <c r="ACK189" s="246"/>
      <c r="ACL189" s="246"/>
      <c r="ACM189" s="246"/>
      <c r="ACN189" s="246"/>
      <c r="ACO189" s="246"/>
      <c r="ACP189" s="246"/>
      <c r="ACQ189" s="246"/>
      <c r="ACR189" s="246"/>
      <c r="ACS189" s="246"/>
      <c r="ACT189" s="246"/>
      <c r="ACU189" s="246"/>
      <c r="ACV189" s="246"/>
      <c r="ACW189" s="246"/>
      <c r="ACX189" s="246"/>
      <c r="ACY189" s="246"/>
      <c r="ACZ189" s="246"/>
      <c r="ADA189" s="246"/>
      <c r="ADB189" s="246"/>
      <c r="ADC189" s="246"/>
      <c r="ADD189" s="246"/>
      <c r="ADE189" s="246"/>
      <c r="ADF189" s="246"/>
      <c r="ADG189" s="246"/>
      <c r="ADH189" s="246"/>
      <c r="ADI189" s="246"/>
      <c r="ADJ189" s="246"/>
      <c r="ADK189" s="246"/>
      <c r="ADL189" s="246"/>
      <c r="ADM189" s="246"/>
      <c r="ADN189" s="246"/>
      <c r="ADO189" s="246"/>
      <c r="ADP189" s="246"/>
      <c r="ADQ189" s="246"/>
      <c r="ADR189" s="246"/>
      <c r="ADS189" s="246"/>
      <c r="ADT189" s="246"/>
      <c r="ADU189" s="246"/>
      <c r="ADV189" s="246"/>
      <c r="ADW189" s="246"/>
      <c r="ADX189" s="246"/>
      <c r="ADY189" s="246"/>
      <c r="ADZ189" s="246"/>
      <c r="AEA189" s="246"/>
      <c r="AEB189" s="246"/>
      <c r="AEC189" s="246"/>
      <c r="AED189" s="246"/>
      <c r="AEE189" s="246"/>
      <c r="AEF189" s="246"/>
      <c r="AEG189" s="246"/>
      <c r="AEH189" s="246"/>
      <c r="AEI189" s="246"/>
      <c r="AEJ189" s="246"/>
      <c r="AEK189" s="246"/>
      <c r="AEL189" s="246"/>
      <c r="AEM189" s="246"/>
      <c r="AEN189" s="246"/>
      <c r="AEO189" s="246"/>
      <c r="AEP189" s="246"/>
      <c r="AEQ189" s="246"/>
      <c r="AER189" s="246"/>
      <c r="AES189" s="246"/>
      <c r="AET189" s="246"/>
      <c r="AEU189" s="246"/>
      <c r="AEV189" s="246"/>
      <c r="AEW189" s="246"/>
      <c r="AEX189" s="246"/>
      <c r="AEY189" s="246"/>
      <c r="AEZ189" s="246"/>
      <c r="AFA189" s="246"/>
      <c r="AFB189" s="246"/>
      <c r="AFC189" s="246"/>
      <c r="AFD189" s="246"/>
      <c r="AFE189" s="246"/>
      <c r="AFF189" s="246"/>
      <c r="AFG189" s="246"/>
      <c r="AFH189" s="246"/>
      <c r="AFI189" s="246"/>
      <c r="AFJ189" s="246"/>
      <c r="AFK189" s="246"/>
      <c r="AFL189" s="246"/>
      <c r="AFM189" s="246"/>
      <c r="AFN189" s="246"/>
      <c r="AFO189" s="246"/>
      <c r="AFP189" s="246"/>
      <c r="AFQ189" s="246"/>
      <c r="AFR189" s="246"/>
      <c r="AFS189" s="246"/>
      <c r="AFT189" s="246"/>
      <c r="AFU189" s="246"/>
      <c r="AFV189" s="246"/>
      <c r="AFW189" s="246"/>
      <c r="AFX189" s="246"/>
      <c r="AFY189" s="246"/>
      <c r="AFZ189" s="246"/>
      <c r="AGA189" s="246"/>
      <c r="AGB189" s="246"/>
    </row>
    <row r="192" spans="1:860" ht="14.25" customHeight="1" x14ac:dyDescent="0.2">
      <c r="Q192" s="144" t="s">
        <v>135</v>
      </c>
    </row>
    <row r="193" spans="13:25" ht="14.25" customHeight="1" x14ac:dyDescent="0.2">
      <c r="M193" s="275"/>
      <c r="T193" s="144" t="s">
        <v>135</v>
      </c>
    </row>
    <row r="194" spans="13:25" ht="14.25" customHeight="1" x14ac:dyDescent="0.2">
      <c r="M194" s="236" t="s">
        <v>402</v>
      </c>
    </row>
    <row r="197" spans="13:25" ht="14.25" customHeight="1" x14ac:dyDescent="0.2">
      <c r="X197" s="152" t="s">
        <v>402</v>
      </c>
    </row>
    <row r="198" spans="13:25" ht="14.25" customHeight="1" x14ac:dyDescent="0.2">
      <c r="Y198" s="209" t="s">
        <v>135</v>
      </c>
    </row>
    <row r="201" spans="13:25" ht="14.25" customHeight="1" x14ac:dyDescent="0.2">
      <c r="T201" s="144" t="s">
        <v>135</v>
      </c>
    </row>
  </sheetData>
  <autoFilter ref="A2:AP188" xr:uid="{00000000-0001-0000-0000-000000000000}">
    <sortState xmlns:xlrd2="http://schemas.microsoft.com/office/spreadsheetml/2017/richdata2" ref="A3:AP188">
      <sortCondition ref="A2:A188"/>
    </sortState>
  </autoFilter>
  <customSheetViews>
    <customSheetView guid="{2EE6C233-76BA-487D-84CF-B1D2031D7726}" scale="110" showAutoFilter="1">
      <pane ySplit="2" topLeftCell="A3" activePane="bottomLeft" state="frozen"/>
      <selection pane="bottomLeft" activeCell="D24" sqref="D24"/>
      <pageMargins left="0" right="0" top="0" bottom="0" header="0" footer="0"/>
      <autoFilter ref="A2:AB2" xr:uid="{269295B6-29D2-42B1-906C-CE0510AEDD00}"/>
    </customSheetView>
    <customSheetView guid="{18176D88-DE0C-4F4B-AE8A-05A303D55849}" scale="110" showAutoFilter="1">
      <pane ySplit="2" topLeftCell="A2925" activePane="bottomLeft" state="frozen"/>
      <selection pane="bottomLeft" activeCell="F23" sqref="F23"/>
      <pageMargins left="0" right="0" top="0" bottom="0" header="0" footer="0"/>
      <pageSetup orientation="portrait" horizontalDpi="4294967293" verticalDpi="4294967293" r:id="rId1"/>
      <autoFilter ref="A2:Y2949" xr:uid="{5FD087F9-2E5D-416B-BE02-BF73818EED44}"/>
    </customSheetView>
  </customSheetViews>
  <phoneticPr fontId="17" type="noConversion"/>
  <conditionalFormatting sqref="A3:A187">
    <cfRule type="expression" dxfId="18308" priority="148679">
      <formula>IF($B3="VOID",TRUE,FALSE)</formula>
    </cfRule>
    <cfRule type="expression" dxfId="18307" priority="148691">
      <formula>IF($B3="Max",TRUE,FALSE)</formula>
    </cfRule>
  </conditionalFormatting>
  <conditionalFormatting sqref="I11:R11 T11:AAA11 AJ13:AAA15 H14:AJ15 H14:AAA14 H16:AK17 H18:AAA19 H20:AK20 I12:AJ13 H11:H13 O31:AJ31 H32:AJ32 H38:AAA187 I36:AAA37 A26:C30 H21:AAA30 H3:AH3 AJ3:AAA3 H4:AAA10 A3:C24 A4:A28 H33:AAA35 A32:C187">
    <cfRule type="expression" dxfId="18306" priority="87259">
      <formula>IF($B3="Custom Quote",TRUE,FALSE)</formula>
    </cfRule>
  </conditionalFormatting>
  <conditionalFormatting sqref="A66 A50:A51 A56 A61:A62 A45:A46 A40:A41 A29:XFD29 A4:A28 A3:XFD3 AD4:AH4">
    <cfRule type="expression" dxfId="18305" priority="24040">
      <formula>IF($B3="Larry",TRUE,FALSE)</formula>
    </cfRule>
  </conditionalFormatting>
  <conditionalFormatting sqref="A106 A90:A91 A96 A101:A102 A85:A86 A69:A70 A75 A80:A81">
    <cfRule type="expression" dxfId="18304" priority="24041">
      <formula>IF($B69="Larry",TRUE,FALSE)</formula>
    </cfRule>
  </conditionalFormatting>
  <conditionalFormatting sqref="A145 A129:A130 A135 A140:A141 A124:A125 A108:A109 A114 A119:A120">
    <cfRule type="expression" dxfId="18303" priority="24042">
      <formula>IF($B108="Larry",TRUE,FALSE)</formula>
    </cfRule>
  </conditionalFormatting>
  <conditionalFormatting sqref="A14:C14">
    <cfRule type="expression" dxfId="18302" priority="49979">
      <formula>IF($B14="Custom Quote",TRUE,FALSE)</formula>
    </cfRule>
  </conditionalFormatting>
  <conditionalFormatting sqref="A25:C25">
    <cfRule type="expression" dxfId="18301" priority="49053">
      <formula>IF($B25="Custom Quote",TRUE,FALSE)</formula>
    </cfRule>
  </conditionalFormatting>
  <conditionalFormatting sqref="A26:C26">
    <cfRule type="expression" dxfId="18300" priority="49043">
      <formula>IF($B26="Custom Quote",TRUE,FALSE)</formula>
    </cfRule>
  </conditionalFormatting>
  <conditionalFormatting sqref="A31:C31">
    <cfRule type="expression" dxfId="18299" priority="25095">
      <formula>IF($B31="Custom Quote",TRUE,FALSE)</formula>
    </cfRule>
  </conditionalFormatting>
  <conditionalFormatting sqref="I11:R11 A11:C11 T11:XFD11 AJ13:XFD15 A14:XFD14 A14:AK15 A12:G13 I12:AK13 H11:H13 A16:XFD23 A24:AK26 A5:XFD10 AGD31:XFD31 A31:M31 O31:AK31 A32:AK32 A38:XFD187 A35:AGC35 AGD36:XFD37 A36:AH37 AJ36:AK37 A26:XFD30 A3:XFD3 A4:AK4 A4:A28 A33:XFD34">
    <cfRule type="expression" dxfId="18298" priority="148660">
      <formula>IF($B3="LOST",TRUE,FALSE)</formula>
    </cfRule>
  </conditionalFormatting>
  <conditionalFormatting sqref="A31:M31 O31:AGC31">
    <cfRule type="expression" dxfId="18297" priority="24053">
      <formula>IF($B31="Larry",TRUE,FALSE)</formula>
    </cfRule>
  </conditionalFormatting>
  <conditionalFormatting sqref="A11:C11 A12:G13 A31:M31 A35:AGC35 A36:XFD187 I11:R11 T11:XFD11 H11:H13 I12:XFD13 O31:XFD31 A14:XFD30 A3:AH3 A4:XFD10 AJ3:XFD3 A4:A28 A32:XFD34">
    <cfRule type="expression" dxfId="18296" priority="148692">
      <formula>IF($B3="Max",TRUE,FALSE)</formula>
    </cfRule>
  </conditionalFormatting>
  <conditionalFormatting sqref="A11:C11 I11:R11 T11:XFD11 H11:H13 A12:G13 A31:M31 A35:AGC35 A36:XFD187 I12:XFD13 O31:XFD31 A14:XFD30 A3:AH3 AJ3:XFD3 A4:XFD10 A4:A28 A32:XFD34">
    <cfRule type="expression" dxfId="18295" priority="148684">
      <formula>IF($B3="Cathy",TRUE,FALSE)</formula>
    </cfRule>
  </conditionalFormatting>
  <conditionalFormatting sqref="A11:C11 I11:R11 T11:XFD11 H11:H13 A12:G13 I12:XFD13 A31:M31 O31:XFD31 A35:AGC35 A36:XFD187 A14:XFD30 A3:AH3 AJ3:XFD3 A4:XFD10 A4:A28 A32:XFD34">
    <cfRule type="expression" dxfId="18294" priority="148685">
      <formula>IF($B3="ISSUE",TRUE,FALSE)</formula>
    </cfRule>
    <cfRule type="expression" dxfId="18293" priority="148686">
      <formula>IF($B3="Purchased",TRUE,FALSE)</formula>
    </cfRule>
    <cfRule type="expression" dxfId="18292" priority="148687">
      <formula>IF($B3="Requoted",TRUE,FALSE)</formula>
    </cfRule>
    <cfRule type="expression" dxfId="18291" priority="148688">
      <formula>IF($B3="Quote Sent",TRUE,FALSE)</formula>
    </cfRule>
    <cfRule type="expression" dxfId="18290" priority="148698">
      <formula>IF($B3="Quoting",TRUE,FALSE)</formula>
    </cfRule>
  </conditionalFormatting>
  <conditionalFormatting sqref="A18:AH19 AJ18:XFD19 AGD33:XFD34 AI33:AI34 A38:XFD187 AGD36:XFD37">
    <cfRule type="expression" dxfId="18289" priority="49679">
      <formula>IF($B18="Larry",TRUE,FALSE)</formula>
    </cfRule>
  </conditionalFormatting>
  <conditionalFormatting sqref="A20:AH20 AJ20:XFD20">
    <cfRule type="expression" dxfId="18288" priority="49505">
      <formula>IF($B20="Larry",TRUE,FALSE)</formula>
    </cfRule>
  </conditionalFormatting>
  <conditionalFormatting sqref="A22:AH22 AJ22:XFD22">
    <cfRule type="expression" dxfId="18287" priority="49338">
      <formula>IF($B22="Larry",TRUE,FALSE)</formula>
    </cfRule>
  </conditionalFormatting>
  <conditionalFormatting sqref="A27:AH27 AJ27:XFD27">
    <cfRule type="expression" dxfId="18286" priority="49030">
      <formula>IF($B27="Larry",TRUE,FALSE)</formula>
    </cfRule>
  </conditionalFormatting>
  <conditionalFormatting sqref="A33:AH33 AJ33:AGC33">
    <cfRule type="expression" dxfId="18285" priority="23500">
      <formula>IF($B33="Larry",TRUE,FALSE)</formula>
    </cfRule>
  </conditionalFormatting>
  <conditionalFormatting sqref="A34:AH34 AJ34:AGC34">
    <cfRule type="expression" dxfId="18284" priority="23497">
      <formula>IF($B34="Larry",TRUE,FALSE)</formula>
    </cfRule>
  </conditionalFormatting>
  <conditionalFormatting sqref="A35:AGC35">
    <cfRule type="expression" dxfId="18283" priority="23496">
      <formula>IF($B35="Larry",TRUE,FALSE)</formula>
    </cfRule>
  </conditionalFormatting>
  <conditionalFormatting sqref="A36:AGC36">
    <cfRule type="expression" dxfId="18282" priority="16306">
      <formula>IF($B36="Larry",TRUE,FALSE)</formula>
    </cfRule>
  </conditionalFormatting>
  <conditionalFormatting sqref="A37:AGC37">
    <cfRule type="expression" dxfId="18281" priority="4196">
      <formula>IF($B37="Larry",TRUE,FALSE)</formula>
    </cfRule>
  </conditionalFormatting>
  <conditionalFormatting sqref="A4:XFD10 A11:C11 A16:A17 I11:R11 T11:XFD11 H11:H13">
    <cfRule type="expression" dxfId="18280" priority="148683">
      <formula>IF($B4="Larry",TRUE,FALSE)</formula>
    </cfRule>
  </conditionalFormatting>
  <conditionalFormatting sqref="A14:XFD14">
    <cfRule type="expression" dxfId="18279" priority="49913">
      <formula>IF($B14="Larry",TRUE,FALSE)</formula>
    </cfRule>
  </conditionalFormatting>
  <conditionalFormatting sqref="A14:XFD15 A21:XFD21 AI16:AI20 A12:G13 I12:XFD13 A26:XFD26 AGD31:XFD31">
    <cfRule type="expression" dxfId="18278" priority="54597">
      <formula>IF($B12="Larry",TRUE,FALSE)</formula>
    </cfRule>
  </conditionalFormatting>
  <conditionalFormatting sqref="A23:XFD23">
    <cfRule type="expression" dxfId="18277" priority="49299">
      <formula>IF($B23="Larry",TRUE,FALSE)</formula>
    </cfRule>
  </conditionalFormatting>
  <conditionalFormatting sqref="A24:XFD24">
    <cfRule type="expression" dxfId="18276" priority="49055">
      <formula>IF($B24="Larry",TRUE,FALSE)</formula>
    </cfRule>
  </conditionalFormatting>
  <conditionalFormatting sqref="A25:XFD25">
    <cfRule type="expression" dxfId="18275" priority="49049">
      <formula>IF($B25="Larry",TRUE,FALSE)</formula>
    </cfRule>
  </conditionalFormatting>
  <conditionalFormatting sqref="A26:XFD26">
    <cfRule type="expression" dxfId="18274" priority="49041">
      <formula>IF($B26="Larry",TRUE,FALSE)</formula>
    </cfRule>
  </conditionalFormatting>
  <conditionalFormatting sqref="A28:XFD28">
    <cfRule type="expression" dxfId="18273" priority="47617">
      <formula>IF($B28="Larry",TRUE,FALSE)</formula>
    </cfRule>
  </conditionalFormatting>
  <conditionalFormatting sqref="A40 A44 A48 A52 A56 A60 A64 A68 A72 A76 A80 A84 A88 A92 A96 A100 A104 A108 A112 A116 A120 A124 A128 A132 A136 A140 A144 A152 A156 A172 A38 A42 A46 A50 A54 A58 A62 A66 A70 A74 A78 A82 A86 A90 A94 A98 A102 A106 A110 A114 A118 A122 A126 A130 A134 A138 A142 A146 A148:A150 A154 A158:A160 A162 A164:A166 A168:A170 A174:A176 A178 A180:A182 A184:A187">
    <cfRule type="expression" dxfId="18272" priority="41240">
      <formula>IF($B38="Larry",TRUE,FALSE)</formula>
    </cfRule>
  </conditionalFormatting>
  <conditionalFormatting sqref="A30:XFD30">
    <cfRule type="expression" dxfId="18271" priority="26725">
      <formula>IF($B30="Larry",TRUE,FALSE)</formula>
    </cfRule>
  </conditionalFormatting>
  <conditionalFormatting sqref="A32:XFD32">
    <cfRule type="expression" dxfId="18270" priority="24044">
      <formula>IF($B32="Larry",TRUE,FALSE)</formula>
    </cfRule>
  </conditionalFormatting>
  <conditionalFormatting sqref="B3:B187">
    <cfRule type="expression" dxfId="18269" priority="148678">
      <formula>IF($B3="VOID",TRUE,FALSE)</formula>
    </cfRule>
  </conditionalFormatting>
  <conditionalFormatting sqref="D38:D187 D36:F37 D3:D10 D12:D35">
    <cfRule type="expression" dxfId="18268" priority="148601">
      <formula>IF($B3="Quoting",TRUE,FALSE)</formula>
    </cfRule>
  </conditionalFormatting>
  <conditionalFormatting sqref="C21:AAA21 AI22 AI24 C26:AAA26 AI33:AI34 C38:AAA187 AI27:AI28 C29:AAA29 C3:AH3 AJ3:AAA3 AD4:AH4">
    <cfRule type="expression" dxfId="18267" priority="129630">
      <formula>IF($B3="VOID",TRUE,FALSE)</formula>
    </cfRule>
  </conditionalFormatting>
  <conditionalFormatting sqref="C12:C15">
    <cfRule type="expression" dxfId="18266" priority="50376">
      <formula>IF($B12="VOID",TRUE,FALSE)</formula>
    </cfRule>
    <cfRule type="expression" dxfId="18265" priority="50377">
      <formula>IF($B12="Custom Quote",TRUE,FALSE)</formula>
    </cfRule>
    <cfRule type="expression" dxfId="18264" priority="50378">
      <formula>IF($B12="VOID",TRUE,FALSE)</formula>
    </cfRule>
    <cfRule type="expression" dxfId="18263" priority="50379">
      <formula>IF($B12="VOID",TRUE,FALSE)</formula>
    </cfRule>
    <cfRule type="expression" dxfId="18262" priority="50380">
      <formula>IF($B12="Custom Quote",TRUE,FALSE)</formula>
    </cfRule>
    <cfRule type="expression" dxfId="18261" priority="50381">
      <formula>IF($B12="VOID",TRUE,FALSE)</formula>
    </cfRule>
    <cfRule type="expression" dxfId="18260" priority="50382">
      <formula>IF($B12="VOID",TRUE,FALSE)</formula>
    </cfRule>
  </conditionalFormatting>
  <conditionalFormatting sqref="C28">
    <cfRule type="expression" dxfId="18259" priority="47615">
      <formula>IF($B28="Larry",TRUE,FALSE)</formula>
    </cfRule>
    <cfRule type="expression" dxfId="18258" priority="47616">
      <formula>IF($B28="VOID",TRUE,FALSE)</formula>
    </cfRule>
  </conditionalFormatting>
  <conditionalFormatting sqref="C32">
    <cfRule type="expression" dxfId="18257" priority="24050">
      <formula>IF($B32="VOID",TRUE,FALSE)</formula>
    </cfRule>
    <cfRule type="expression" dxfId="18256" priority="24051">
      <formula>IF($B32="VOID",TRUE,FALSE)</formula>
    </cfRule>
  </conditionalFormatting>
  <conditionalFormatting sqref="C31:M31">
    <cfRule type="expression" dxfId="18255" priority="25094">
      <formula>IF($B31="VOID",TRUE,FALSE)</formula>
    </cfRule>
  </conditionalFormatting>
  <conditionalFormatting sqref="C22:AH22 AJ22:AK22">
    <cfRule type="expression" dxfId="18254" priority="49340">
      <formula>IF($B22="VOID",TRUE,FALSE)</formula>
    </cfRule>
  </conditionalFormatting>
  <conditionalFormatting sqref="C27:AH27 AJ27:AK27">
    <cfRule type="expression" dxfId="18253" priority="49032">
      <formula>IF($B27="VOID",TRUE,FALSE)</formula>
    </cfRule>
  </conditionalFormatting>
  <conditionalFormatting sqref="C28:AH28 AJ28:AAA28">
    <cfRule type="expression" dxfId="18252" priority="47619">
      <formula>IF($B28="VOID",TRUE,FALSE)</formula>
    </cfRule>
  </conditionalFormatting>
  <conditionalFormatting sqref="C33:AH33 AJ33:AK33">
    <cfRule type="expression" dxfId="18251" priority="23502">
      <formula>IF($B33="VOID",TRUE,FALSE)</formula>
    </cfRule>
  </conditionalFormatting>
  <conditionalFormatting sqref="C34:AH34 AJ34:AK34">
    <cfRule type="expression" dxfId="18250" priority="23499">
      <formula>IF($B34="VOID",TRUE,FALSE)</formula>
    </cfRule>
  </conditionalFormatting>
  <conditionalFormatting sqref="C35:AH35">
    <cfRule type="expression" dxfId="18249" priority="23495">
      <formula>IF($B35="VOID",TRUE,FALSE)</formula>
    </cfRule>
  </conditionalFormatting>
  <conditionalFormatting sqref="C16:AK17">
    <cfRule type="expression" dxfId="18248" priority="49685">
      <formula>IF($B16="VOID",TRUE,FALSE)</formula>
    </cfRule>
  </conditionalFormatting>
  <conditionalFormatting sqref="C18:AK19">
    <cfRule type="expression" dxfId="18247" priority="49681">
      <formula>IF($B18="VOID",TRUE,FALSE)</formula>
    </cfRule>
  </conditionalFormatting>
  <conditionalFormatting sqref="C20:AAA20">
    <cfRule type="expression" dxfId="18246" priority="49507">
      <formula>IF($B20="VOID",TRUE,FALSE)</formula>
    </cfRule>
  </conditionalFormatting>
  <conditionalFormatting sqref="C23:AAA23">
    <cfRule type="expression" dxfId="18245" priority="49302">
      <formula>IF($B23="VOID",TRUE,FALSE)</formula>
    </cfRule>
  </conditionalFormatting>
  <conditionalFormatting sqref="C25:AAA25">
    <cfRule type="expression" dxfId="18244" priority="49050">
      <formula>IF($B25="VOID",TRUE,FALSE)</formula>
    </cfRule>
  </conditionalFormatting>
  <conditionalFormatting sqref="C26:AAA26">
    <cfRule type="expression" dxfId="18243" priority="49042">
      <formula>IF($B26="VOID",TRUE,FALSE)</formula>
    </cfRule>
  </conditionalFormatting>
  <conditionalFormatting sqref="C30:AAA30">
    <cfRule type="expression" dxfId="18242" priority="26726">
      <formula>IF($B30="VOID",TRUE,FALSE)</formula>
    </cfRule>
  </conditionalFormatting>
  <conditionalFormatting sqref="C32:AAA32">
    <cfRule type="expression" dxfId="18241" priority="24047">
      <formula>IF($B32="VOID",TRUE,FALSE)</formula>
    </cfRule>
  </conditionalFormatting>
  <conditionalFormatting sqref="C35:AAA35">
    <cfRule type="expression" dxfId="18240" priority="20056">
      <formula>IF($B35="VOID",TRUE,FALSE)</formula>
    </cfRule>
  </conditionalFormatting>
  <conditionalFormatting sqref="C36:AAA36">
    <cfRule type="expression" dxfId="18239" priority="12611">
      <formula>IF($B36="VOID",TRUE,FALSE)</formula>
    </cfRule>
  </conditionalFormatting>
  <conditionalFormatting sqref="C37:AAA37">
    <cfRule type="expression" dxfId="18238" priority="23">
      <formula>IF($B37="VOID",TRUE,FALSE)</formula>
    </cfRule>
  </conditionalFormatting>
  <conditionalFormatting sqref="F38:F187 D36:F37 F3:F10 F12:F35">
    <cfRule type="expression" dxfId="18237" priority="148636">
      <formula>IF($B3="Quoting",TRUE,FALSE)</formula>
    </cfRule>
  </conditionalFormatting>
  <conditionalFormatting sqref="E13:E24 E26:E31 E3:E10 E33:E187">
    <cfRule type="expression" dxfId="18236" priority="148631">
      <formula>IF($B3="Quoting",TRUE,FALSE)</formula>
    </cfRule>
  </conditionalFormatting>
  <conditionalFormatting sqref="D28">
    <cfRule type="expression" dxfId="18235" priority="136146">
      <formula>IF($B28="Quoting",TRUE,FALSE)</formula>
    </cfRule>
    <cfRule type="expression" dxfId="18234" priority="136147">
      <formula>IF($B28="Quoting",TRUE,FALSE)</formula>
    </cfRule>
    <cfRule type="expression" dxfId="18233" priority="136148">
      <formula>IF($B28="Quoting",TRUE,FALSE)</formula>
    </cfRule>
    <cfRule type="expression" dxfId="18232" priority="136519">
      <formula>IF($B28="Quoting",TRUE,FALSE)</formula>
    </cfRule>
    <cfRule type="expression" dxfId="18231" priority="136536">
      <formula>IF($B28="Quoting",TRUE,FALSE)</formula>
    </cfRule>
    <cfRule type="expression" dxfId="18230" priority="136537">
      <formula>IF($B28="Quoting",TRUE,FALSE)</formula>
    </cfRule>
    <cfRule type="expression" dxfId="18229" priority="136538">
      <formula>IF($B28="Quoting",TRUE,FALSE)</formula>
    </cfRule>
    <cfRule type="expression" dxfId="18228" priority="136595">
      <formula>IF($B28="Quoting",TRUE,FALSE)</formula>
    </cfRule>
    <cfRule type="expression" dxfId="18227" priority="136602">
      <formula>IF($B28="Quoting",TRUE,FALSE)</formula>
    </cfRule>
    <cfRule type="expression" dxfId="18226" priority="136603">
      <formula>IF($B28="Quoting",TRUE,FALSE)</formula>
    </cfRule>
    <cfRule type="expression" dxfId="18225" priority="136604">
      <formula>IF($B28="Quoting",TRUE,FALSE)</formula>
    </cfRule>
    <cfRule type="expression" dxfId="18224" priority="136605">
      <formula>IF($B28="Quoting",TRUE,FALSE)</formula>
    </cfRule>
    <cfRule type="expression" dxfId="18223" priority="136606">
      <formula>IF($B28="Quoting",TRUE,FALSE)</formula>
    </cfRule>
    <cfRule type="expression" dxfId="18222" priority="136607">
      <formula>IF($B28="Quoting",TRUE,FALSE)</formula>
    </cfRule>
    <cfRule type="expression" dxfId="18221" priority="136608">
      <formula>IF($B28="Quoting",TRUE,FALSE)</formula>
    </cfRule>
    <cfRule type="expression" dxfId="18220" priority="136609">
      <formula>IF($B28="Quoting",TRUE,FALSE)</formula>
    </cfRule>
    <cfRule type="expression" dxfId="18219" priority="136610">
      <formula>IF($B28="Quoting",TRUE,FALSE)</formula>
    </cfRule>
    <cfRule type="expression" dxfId="18218" priority="136611">
      <formula>IF($B28="Quoting",TRUE,FALSE)</formula>
    </cfRule>
    <cfRule type="expression" dxfId="18217" priority="136612">
      <formula>IF($B28="Quoting",TRUE,FALSE)</formula>
    </cfRule>
  </conditionalFormatting>
  <conditionalFormatting sqref="D5:D6">
    <cfRule type="expression" dxfId="18216" priority="51928">
      <formula>IF($B5="VOID",TRUE,FALSE)</formula>
    </cfRule>
    <cfRule type="expression" dxfId="18215" priority="51929">
      <formula>IF($B5="VOID",TRUE,FALSE)</formula>
    </cfRule>
    <cfRule type="expression" dxfId="18214" priority="51930">
      <formula>IF($B5="VOID",TRUE,FALSE)</formula>
    </cfRule>
    <cfRule type="expression" dxfId="18213" priority="51931">
      <formula>IF($B5="VOID",TRUE,FALSE)</formula>
    </cfRule>
    <cfRule type="expression" dxfId="18212" priority="51932">
      <formula>IF($B5="VOID",TRUE,FALSE)</formula>
    </cfRule>
    <cfRule type="expression" dxfId="18211" priority="51933">
      <formula>IF($B5="VOID",TRUE,FALSE)</formula>
    </cfRule>
    <cfRule type="expression" dxfId="18210" priority="51934">
      <formula>IF($B5="VOID",TRUE,FALSE)</formula>
    </cfRule>
    <cfRule type="expression" dxfId="18209" priority="51935">
      <formula>IF($B5="VOID",TRUE,FALSE)</formula>
    </cfRule>
    <cfRule type="expression" dxfId="18208" priority="51936">
      <formula>IF($B5="VOID",TRUE,FALSE)</formula>
    </cfRule>
    <cfRule type="expression" dxfId="18207" priority="51937">
      <formula>IF($B5="VOID",TRUE,FALSE)</formula>
    </cfRule>
    <cfRule type="expression" dxfId="18206" priority="51938">
      <formula>IF($B5="VOID",TRUE,FALSE)</formula>
    </cfRule>
    <cfRule type="expression" dxfId="18205" priority="51939">
      <formula>IF($B5="VOID",TRUE,FALSE)</formula>
    </cfRule>
    <cfRule type="expression" dxfId="18204" priority="51940">
      <formula>IF($B5="VOID",TRUE,FALSE)</formula>
    </cfRule>
    <cfRule type="expression" dxfId="18203" priority="51941">
      <formula>IF($B5="VOID",TRUE,FALSE)</formula>
    </cfRule>
    <cfRule type="expression" dxfId="18202" priority="51942">
      <formula>IF($B5="VOID",TRUE,FALSE)</formula>
    </cfRule>
    <cfRule type="expression" dxfId="18201" priority="51943">
      <formula>IF($B5="VOID",TRUE,FALSE)</formula>
    </cfRule>
    <cfRule type="expression" dxfId="18200" priority="51944">
      <formula>IF($B5="VOID",TRUE,FALSE)</formula>
    </cfRule>
    <cfRule type="expression" dxfId="18199" priority="51945">
      <formula>IF($B5="VOID",TRUE,FALSE)</formula>
    </cfRule>
    <cfRule type="expression" dxfId="18198" priority="51946">
      <formula>IF($B5="Quoting",TRUE,FALSE)</formula>
    </cfRule>
    <cfRule type="expression" dxfId="18197" priority="52058">
      <formula>IF($B5="Quoting",TRUE,FALSE)</formula>
    </cfRule>
    <cfRule type="expression" dxfId="18196" priority="52059">
      <formula>IF($B5="Quoting",TRUE,FALSE)</formula>
    </cfRule>
    <cfRule type="expression" dxfId="18195" priority="52060">
      <formula>IF($B5="Quoting",TRUE,FALSE)</formula>
    </cfRule>
    <cfRule type="expression" dxfId="18194" priority="52061">
      <formula>IF($B5="Quoting",TRUE,FALSE)</formula>
    </cfRule>
    <cfRule type="expression" dxfId="18193" priority="52062">
      <formula>IF($B5="Quoting",TRUE,FALSE)</formula>
    </cfRule>
    <cfRule type="expression" dxfId="18192" priority="52063">
      <formula>IF($B5="Quoting",TRUE,FALSE)</formula>
    </cfRule>
    <cfRule type="expression" dxfId="18191" priority="52064">
      <formula>IF($B5="Quoting",TRUE,FALSE)</formula>
    </cfRule>
    <cfRule type="expression" dxfId="18190" priority="52065">
      <formula>IF($B5="Quoting",TRUE,FALSE)</formula>
    </cfRule>
    <cfRule type="expression" dxfId="18189" priority="52066">
      <formula>IF($B5="Quoting",TRUE,FALSE)</formula>
    </cfRule>
    <cfRule type="expression" dxfId="18188" priority="52067">
      <formula>IF($B5="Quoting",TRUE,FALSE)</formula>
    </cfRule>
    <cfRule type="expression" dxfId="18187" priority="52068">
      <formula>IF($B5="Quoting",TRUE,FALSE)</formula>
    </cfRule>
    <cfRule type="expression" dxfId="18186" priority="52069">
      <formula>IF($B5="Quoting",TRUE,FALSE)</formula>
    </cfRule>
    <cfRule type="expression" dxfId="18185" priority="52070">
      <formula>IF($B5="VOID",TRUE,FALSE)</formula>
    </cfRule>
    <cfRule type="expression" dxfId="18184" priority="52071">
      <formula>IF($B5="Quoting",TRUE,FALSE)</formula>
    </cfRule>
    <cfRule type="expression" dxfId="18183" priority="52072">
      <formula>IF($B5="Quoting",TRUE,FALSE)</formula>
    </cfRule>
    <cfRule type="expression" dxfId="18182" priority="52073">
      <formula>IF($B5="Quoting",TRUE,FALSE)</formula>
    </cfRule>
    <cfRule type="expression" dxfId="18181" priority="52074">
      <formula>IF($B5="Quoting",TRUE,FALSE)</formula>
    </cfRule>
    <cfRule type="expression" dxfId="18180" priority="52075">
      <formula>IF($B5="Quoting",TRUE,FALSE)</formula>
    </cfRule>
    <cfRule type="expression" dxfId="18179" priority="52076">
      <formula>IF($B5="Quoting",TRUE,FALSE)</formula>
    </cfRule>
    <cfRule type="expression" dxfId="18178" priority="52077">
      <formula>IF($B5="Quoting",TRUE,FALSE)</formula>
    </cfRule>
    <cfRule type="expression" dxfId="18177" priority="52078">
      <formula>IF($B5="Quoting",TRUE,FALSE)</formula>
    </cfRule>
    <cfRule type="expression" dxfId="18176" priority="52079">
      <formula>IF($B5="Quoting",TRUE,FALSE)</formula>
    </cfRule>
    <cfRule type="expression" dxfId="18175" priority="52080">
      <formula>IF($B5="Quoting",TRUE,FALSE)</formula>
    </cfRule>
    <cfRule type="expression" dxfId="18174" priority="52081">
      <formula>IF($B5="Quoting",TRUE,FALSE)</formula>
    </cfRule>
    <cfRule type="expression" dxfId="18173" priority="52082">
      <formula>IF($B5="Quoting",TRUE,FALSE)</formula>
    </cfRule>
    <cfRule type="expression" dxfId="18172" priority="52083">
      <formula>IF($B5="Quoting",TRUE,FALSE)</formula>
    </cfRule>
    <cfRule type="expression" dxfId="18171" priority="52084">
      <formula>IF($B5="Quoting",TRUE,FALSE)</formula>
    </cfRule>
    <cfRule type="expression" dxfId="18170" priority="52085">
      <formula>IF($B5="Quoting",TRUE,FALSE)</formula>
    </cfRule>
    <cfRule type="expression" dxfId="18169" priority="52086">
      <formula>IF($B5="Quoting",TRUE,FALSE)</formula>
    </cfRule>
    <cfRule type="expression" dxfId="18168" priority="52087">
      <formula>IF($B5="Quoting",TRUE,FALSE)</formula>
    </cfRule>
    <cfRule type="expression" dxfId="18167" priority="52088">
      <formula>IF($B5="Quoting",TRUE,FALSE)</formula>
    </cfRule>
    <cfRule type="expression" dxfId="18166" priority="52089">
      <formula>IF($B5="Quoting",TRUE,FALSE)</formula>
    </cfRule>
    <cfRule type="expression" dxfId="18165" priority="52090">
      <formula>IF($B5="Quoting",TRUE,FALSE)</formula>
    </cfRule>
    <cfRule type="expression" dxfId="18164" priority="52091">
      <formula>IF($B5="Quoting",TRUE,FALSE)</formula>
    </cfRule>
    <cfRule type="expression" dxfId="18163" priority="52092">
      <formula>IF($B5="Quoting",TRUE,FALSE)</formula>
    </cfRule>
    <cfRule type="expression" dxfId="18162" priority="52093">
      <formula>IF($B5="VOID",TRUE,FALSE)</formula>
    </cfRule>
    <cfRule type="expression" dxfId="18161" priority="52094">
      <formula>IF($B5="Quoting",TRUE,FALSE)</formula>
    </cfRule>
    <cfRule type="expression" dxfId="18160" priority="52095">
      <formula>IF($B5="Quoting",TRUE,FALSE)</formula>
    </cfRule>
    <cfRule type="expression" dxfId="18159" priority="52096">
      <formula>IF($B5="VOID",TRUE,FALSE)</formula>
    </cfRule>
    <cfRule type="expression" dxfId="18158" priority="52097">
      <formula>IF($B5="Quoting",TRUE,FALSE)</formula>
    </cfRule>
    <cfRule type="expression" dxfId="18157" priority="52098">
      <formula>IF($B5="Quoting",TRUE,FALSE)</formula>
    </cfRule>
    <cfRule type="expression" dxfId="18156" priority="52099">
      <formula>IF($B5="Quoting",TRUE,FALSE)</formula>
    </cfRule>
    <cfRule type="expression" dxfId="18155" priority="52100">
      <formula>IF($B5="VOID",TRUE,FALSE)</formula>
    </cfRule>
    <cfRule type="expression" dxfId="18154" priority="52101">
      <formula>IF($B5="Quoting",TRUE,FALSE)</formula>
    </cfRule>
    <cfRule type="expression" dxfId="18153" priority="52102">
      <formula>IF($B5="Quoting",TRUE,FALSE)</formula>
    </cfRule>
    <cfRule type="expression" dxfId="18152" priority="52103">
      <formula>IF($B5="Quoting",TRUE,FALSE)</formula>
    </cfRule>
    <cfRule type="expression" dxfId="18151" priority="52104">
      <formula>IF($B5="Quoting",TRUE,FALSE)</formula>
    </cfRule>
    <cfRule type="expression" dxfId="18150" priority="52105">
      <formula>IF($B5="Quoting",TRUE,FALSE)</formula>
    </cfRule>
    <cfRule type="expression" dxfId="18149" priority="52106">
      <formula>IF($B5="Quoting",TRUE,FALSE)</formula>
    </cfRule>
    <cfRule type="expression" dxfId="18148" priority="52107">
      <formula>IF($B5="Quoting",TRUE,FALSE)</formula>
    </cfRule>
    <cfRule type="expression" dxfId="18147" priority="52108">
      <formula>IF($B5="Quoting",TRUE,FALSE)</formula>
    </cfRule>
    <cfRule type="expression" dxfId="18146" priority="52109">
      <formula>IF($B5="Quoting",TRUE,FALSE)</formula>
    </cfRule>
    <cfRule type="expression" dxfId="18145" priority="52110">
      <formula>IF($B5="Quoting",TRUE,FALSE)</formula>
    </cfRule>
    <cfRule type="expression" dxfId="18144" priority="52111">
      <formula>IF($B5="Quoting",TRUE,FALSE)</formula>
    </cfRule>
    <cfRule type="expression" dxfId="18143" priority="52112">
      <formula>IF($B5="Quoting",TRUE,FALSE)</formula>
    </cfRule>
    <cfRule type="expression" dxfId="18142" priority="52113">
      <formula>IF($B5="Quoting",TRUE,FALSE)</formula>
    </cfRule>
    <cfRule type="expression" dxfId="18141" priority="52114">
      <formula>IF($B5="Quoting",TRUE,FALSE)</formula>
    </cfRule>
    <cfRule type="expression" dxfId="18140" priority="52115">
      <formula>IF($B5="Quoting",TRUE,FALSE)</formula>
    </cfRule>
    <cfRule type="expression" dxfId="18139" priority="52116">
      <formula>IF($B5="Quoting",TRUE,FALSE)</formula>
    </cfRule>
    <cfRule type="expression" dxfId="18138" priority="52117">
      <formula>IF($B5="Quoting",TRUE,FALSE)</formula>
    </cfRule>
    <cfRule type="expression" dxfId="18137" priority="52118">
      <formula>IF($B5="Quoting",TRUE,FALSE)</formula>
    </cfRule>
    <cfRule type="expression" dxfId="18136" priority="52119">
      <formula>IF($B5="Quoting",TRUE,FALSE)</formula>
    </cfRule>
    <cfRule type="expression" dxfId="18135" priority="52120">
      <formula>IF($B5="Quoting",TRUE,FALSE)</formula>
    </cfRule>
    <cfRule type="expression" dxfId="18134" priority="52121">
      <formula>IF($B5="Quoting",TRUE,FALSE)</formula>
    </cfRule>
    <cfRule type="expression" dxfId="18133" priority="52122">
      <formula>IF($B5="Quoting",TRUE,FALSE)</formula>
    </cfRule>
    <cfRule type="expression" dxfId="18132" priority="52123">
      <formula>IF($B5="Quoting",TRUE,FALSE)</formula>
    </cfRule>
    <cfRule type="expression" dxfId="18131" priority="52124">
      <formula>IF($B5="Quoting",TRUE,FALSE)</formula>
    </cfRule>
    <cfRule type="expression" dxfId="18130" priority="52125">
      <formula>IF($B5="Quoting",TRUE,FALSE)</formula>
    </cfRule>
    <cfRule type="expression" dxfId="18129" priority="52126">
      <formula>IF($B5="Quoting",TRUE,FALSE)</formula>
    </cfRule>
    <cfRule type="expression" dxfId="18128" priority="52127">
      <formula>IF($B5="Quoting",TRUE,FALSE)</formula>
    </cfRule>
    <cfRule type="expression" dxfId="18127" priority="52128">
      <formula>IF($B5="Quoting",TRUE,FALSE)</formula>
    </cfRule>
  </conditionalFormatting>
  <conditionalFormatting sqref="D7">
    <cfRule type="expression" dxfId="18126" priority="51400">
      <formula>IF($B7="Quoting",TRUE,FALSE)</formula>
    </cfRule>
    <cfRule type="expression" dxfId="18125" priority="51401">
      <formula>IF($B7="Quoting",TRUE,FALSE)</formula>
    </cfRule>
    <cfRule type="expression" dxfId="18124" priority="51402">
      <formula>IF($B7="Quoting",TRUE,FALSE)</formula>
    </cfRule>
    <cfRule type="expression" dxfId="18123" priority="51403">
      <formula>IF($B7="Quoting",TRUE,FALSE)</formula>
    </cfRule>
    <cfRule type="expression" dxfId="18122" priority="51404">
      <formula>IF($B7="Quoting",TRUE,FALSE)</formula>
    </cfRule>
    <cfRule type="expression" dxfId="18121" priority="51405">
      <formula>IF($B7="Quoting",TRUE,FALSE)</formula>
    </cfRule>
    <cfRule type="expression" dxfId="18120" priority="51406">
      <formula>IF($B7="Quoting",TRUE,FALSE)</formula>
    </cfRule>
    <cfRule type="expression" dxfId="18119" priority="51407">
      <formula>IF($B7="Quoting",TRUE,FALSE)</formula>
    </cfRule>
    <cfRule type="expression" dxfId="18118" priority="51408">
      <formula>IF($B7="Quoting",TRUE,FALSE)</formula>
    </cfRule>
    <cfRule type="expression" dxfId="18117" priority="51409">
      <formula>IF($B7="Quoting",TRUE,FALSE)</formula>
    </cfRule>
    <cfRule type="expression" dxfId="18116" priority="51410">
      <formula>IF($B7="Quoting",TRUE,FALSE)</formula>
    </cfRule>
    <cfRule type="expression" dxfId="18115" priority="51411">
      <formula>IF($B7="Quoting",TRUE,FALSE)</formula>
    </cfRule>
    <cfRule type="expression" dxfId="18114" priority="51412">
      <formula>IF($B7="VOID",TRUE,FALSE)</formula>
    </cfRule>
    <cfRule type="expression" dxfId="18113" priority="51413">
      <formula>IF($B7="VOID",TRUE,FALSE)</formula>
    </cfRule>
    <cfRule type="expression" dxfId="18112" priority="51414">
      <formula>IF($B7="VOID",TRUE,FALSE)</formula>
    </cfRule>
    <cfRule type="expression" dxfId="18111" priority="51415">
      <formula>IF($B7="Quoting",TRUE,FALSE)</formula>
    </cfRule>
    <cfRule type="expression" dxfId="18110" priority="51416">
      <formula>IF($B7="Quoting",TRUE,FALSE)</formula>
    </cfRule>
    <cfRule type="expression" dxfId="18109" priority="51417">
      <formula>IF($B7="Quoting",TRUE,FALSE)</formula>
    </cfRule>
    <cfRule type="expression" dxfId="18108" priority="51418">
      <formula>IF($B7="Quoting",TRUE,FALSE)</formula>
    </cfRule>
    <cfRule type="expression" dxfId="18107" priority="51419">
      <formula>IF($B7="Quoting",TRUE,FALSE)</formula>
    </cfRule>
    <cfRule type="expression" dxfId="18106" priority="51420">
      <formula>IF($B7="Quoting",TRUE,FALSE)</formula>
    </cfRule>
    <cfRule type="expression" dxfId="18105" priority="51421">
      <formula>IF($B7="Quoting",TRUE,FALSE)</formula>
    </cfRule>
    <cfRule type="expression" dxfId="18104" priority="51422">
      <formula>IF($B7="Quoting",TRUE,FALSE)</formula>
    </cfRule>
    <cfRule type="expression" dxfId="18103" priority="51423">
      <formula>IF($B7="Quoting",TRUE,FALSE)</formula>
    </cfRule>
    <cfRule type="expression" dxfId="18102" priority="51424">
      <formula>IF($B7="Quoting",TRUE,FALSE)</formula>
    </cfRule>
    <cfRule type="expression" dxfId="18101" priority="51425">
      <formula>IF($B7="Quoting",TRUE,FALSE)</formula>
    </cfRule>
    <cfRule type="expression" dxfId="18100" priority="51426">
      <formula>IF($B7="Quoting",TRUE,FALSE)</formula>
    </cfRule>
    <cfRule type="expression" dxfId="18099" priority="51427">
      <formula>IF($B7="VOID",TRUE,FALSE)</formula>
    </cfRule>
    <cfRule type="expression" dxfId="18098" priority="51428">
      <formula>IF($B7="VOID",TRUE,FALSE)</formula>
    </cfRule>
    <cfRule type="expression" dxfId="18097" priority="51429">
      <formula>IF($B7="VOID",TRUE,FALSE)</formula>
    </cfRule>
    <cfRule type="expression" dxfId="18096" priority="51430">
      <formula>IF($B7="VOID",TRUE,FALSE)</formula>
    </cfRule>
    <cfRule type="expression" dxfId="18095" priority="51431">
      <formula>IF($B7="VOID",TRUE,FALSE)</formula>
    </cfRule>
    <cfRule type="expression" dxfId="18094" priority="51432">
      <formula>IF($B7="VOID",TRUE,FALSE)</formula>
    </cfRule>
    <cfRule type="expression" dxfId="18093" priority="51433">
      <formula>IF($B7="Quoting",TRUE,FALSE)</formula>
    </cfRule>
    <cfRule type="expression" dxfId="18092" priority="51434">
      <formula>IF($B7="Quoting",TRUE,FALSE)</formula>
    </cfRule>
    <cfRule type="expression" dxfId="18091" priority="51435">
      <formula>IF($B7="Quoting",TRUE,FALSE)</formula>
    </cfRule>
    <cfRule type="expression" dxfId="18090" priority="51436">
      <formula>IF($B7="Quoting",TRUE,FALSE)</formula>
    </cfRule>
    <cfRule type="expression" dxfId="18089" priority="51437">
      <formula>IF($B7="VOID",TRUE,FALSE)</formula>
    </cfRule>
    <cfRule type="expression" dxfId="18088" priority="51438">
      <formula>IF($B7="VOID",TRUE,FALSE)</formula>
    </cfRule>
    <cfRule type="expression" dxfId="18087" priority="51439">
      <formula>IF($B7="Quoting",TRUE,FALSE)</formula>
    </cfRule>
    <cfRule type="expression" dxfId="18086" priority="51440">
      <formula>IF($B7="Quoting",TRUE,FALSE)</formula>
    </cfRule>
    <cfRule type="expression" dxfId="18085" priority="51441">
      <formula>IF($B7="Quoting",TRUE,FALSE)</formula>
    </cfRule>
    <cfRule type="expression" dxfId="18084" priority="51442">
      <formula>IF($B7="Quoting",TRUE,FALSE)</formula>
    </cfRule>
    <cfRule type="expression" dxfId="18083" priority="51443">
      <formula>IF($B7="Quoting",TRUE,FALSE)</formula>
    </cfRule>
    <cfRule type="expression" dxfId="18082" priority="51444">
      <formula>IF($B7="Quoting",TRUE,FALSE)</formula>
    </cfRule>
    <cfRule type="expression" dxfId="18081" priority="51445">
      <formula>IF($B7="Quoting",TRUE,FALSE)</formula>
    </cfRule>
    <cfRule type="expression" dxfId="18080" priority="51446">
      <formula>IF($B7="Quoting",TRUE,FALSE)</formula>
    </cfRule>
    <cfRule type="expression" dxfId="18079" priority="51447">
      <formula>IF($B7="Quoting",TRUE,FALSE)</formula>
    </cfRule>
    <cfRule type="expression" dxfId="18078" priority="51448">
      <formula>IF($B7="Quoting",TRUE,FALSE)</formula>
    </cfRule>
    <cfRule type="expression" dxfId="18077" priority="51449">
      <formula>IF($B7="Quoting",TRUE,FALSE)</formula>
    </cfRule>
    <cfRule type="expression" dxfId="18076" priority="51450">
      <formula>IF($B7="Quoting",TRUE,FALSE)</formula>
    </cfRule>
    <cfRule type="expression" dxfId="18075" priority="51451">
      <formula>IF($B7="Quoting",TRUE,FALSE)</formula>
    </cfRule>
    <cfRule type="expression" dxfId="18074" priority="51452">
      <formula>IF($B7="Quoting",TRUE,FALSE)</formula>
    </cfRule>
    <cfRule type="expression" dxfId="18073" priority="51453">
      <formula>IF($B7="Quoting",TRUE,FALSE)</formula>
    </cfRule>
    <cfRule type="expression" dxfId="18072" priority="51454">
      <formula>IF($B7="Quoting",TRUE,FALSE)</formula>
    </cfRule>
    <cfRule type="expression" dxfId="18071" priority="51455">
      <formula>IF($B7="Quoting",TRUE,FALSE)</formula>
    </cfRule>
    <cfRule type="expression" dxfId="18070" priority="51456">
      <formula>IF($B7="Quoting",TRUE,FALSE)</formula>
    </cfRule>
    <cfRule type="expression" dxfId="18069" priority="51457">
      <formula>IF($B7="Quoting",TRUE,FALSE)</formula>
    </cfRule>
    <cfRule type="expression" dxfId="18068" priority="51458">
      <formula>IF($B7="Quoting",TRUE,FALSE)</formula>
    </cfRule>
    <cfRule type="expression" dxfId="18067" priority="51459">
      <formula>IF($B7="Quoting",TRUE,FALSE)</formula>
    </cfRule>
    <cfRule type="expression" dxfId="18066" priority="51460">
      <formula>IF($B7="Quoting",TRUE,FALSE)</formula>
    </cfRule>
    <cfRule type="expression" dxfId="18065" priority="51461">
      <formula>IF($B7="Quoting",TRUE,FALSE)</formula>
    </cfRule>
    <cfRule type="expression" dxfId="18064" priority="51462">
      <formula>IF($B7="Quoting",TRUE,FALSE)</formula>
    </cfRule>
    <cfRule type="expression" dxfId="18063" priority="51463">
      <formula>IF($B7="VOID",TRUE,FALSE)</formula>
    </cfRule>
    <cfRule type="expression" dxfId="18062" priority="51464">
      <formula>IF($B7="Quoting",TRUE,FALSE)</formula>
    </cfRule>
    <cfRule type="expression" dxfId="18061" priority="51465">
      <formula>IF($B7="Quoting",TRUE,FALSE)</formula>
    </cfRule>
    <cfRule type="expression" dxfId="18060" priority="51466">
      <formula>IF($B7="VOID",TRUE,FALSE)</formula>
    </cfRule>
    <cfRule type="expression" dxfId="18059" priority="51467">
      <formula>IF($B7="VOID",TRUE,FALSE)</formula>
    </cfRule>
    <cfRule type="expression" dxfId="18058" priority="51468">
      <formula>IF($B7="VOID",TRUE,FALSE)</formula>
    </cfRule>
    <cfRule type="expression" dxfId="18057" priority="51469">
      <formula>IF($B7="VOID",TRUE,FALSE)</formula>
    </cfRule>
    <cfRule type="expression" dxfId="18056" priority="51470">
      <formula>IF($B7="VOID",TRUE,FALSE)</formula>
    </cfRule>
    <cfRule type="expression" dxfId="18055" priority="51471">
      <formula>IF($B7="VOID",TRUE,FALSE)</formula>
    </cfRule>
    <cfRule type="expression" dxfId="18054" priority="51472">
      <formula>IF($B7="VOID",TRUE,FALSE)</formula>
    </cfRule>
    <cfRule type="expression" dxfId="18053" priority="51473">
      <formula>IF($B7="VOID",TRUE,FALSE)</formula>
    </cfRule>
    <cfRule type="expression" dxfId="18052" priority="51474">
      <formula>IF($B7="VOID",TRUE,FALSE)</formula>
    </cfRule>
    <cfRule type="expression" dxfId="18051" priority="51475">
      <formula>IF($B7="VOID",TRUE,FALSE)</formula>
    </cfRule>
    <cfRule type="expression" dxfId="18050" priority="51476">
      <formula>IF($B7="VOID",TRUE,FALSE)</formula>
    </cfRule>
    <cfRule type="expression" dxfId="18049" priority="51477">
      <formula>IF($B7="VOID",TRUE,FALSE)</formula>
    </cfRule>
    <cfRule type="expression" dxfId="18048" priority="51478">
      <formula>IF($B7="VOID",TRUE,FALSE)</formula>
    </cfRule>
    <cfRule type="expression" dxfId="18047" priority="51479">
      <formula>IF($B7="Quoting",TRUE,FALSE)</formula>
    </cfRule>
  </conditionalFormatting>
  <conditionalFormatting sqref="D8">
    <cfRule type="expression" dxfId="18046" priority="51215">
      <formula>IF($B8="VOID",TRUE,FALSE)</formula>
    </cfRule>
    <cfRule type="expression" dxfId="18045" priority="51216">
      <formula>IF($B8="VOID",TRUE,FALSE)</formula>
    </cfRule>
    <cfRule type="expression" dxfId="18044" priority="51217">
      <formula>IF($B8="VOID",TRUE,FALSE)</formula>
    </cfRule>
    <cfRule type="expression" dxfId="18043" priority="51218">
      <formula>IF($B8="VOID",TRUE,FALSE)</formula>
    </cfRule>
    <cfRule type="expression" dxfId="18042" priority="51219">
      <formula>IF($B8="VOID",TRUE,FALSE)</formula>
    </cfRule>
    <cfRule type="expression" dxfId="18041" priority="51220">
      <formula>IF($B8="VOID",TRUE,FALSE)</formula>
    </cfRule>
    <cfRule type="expression" dxfId="18040" priority="51221">
      <formula>IF($B8="VOID",TRUE,FALSE)</formula>
    </cfRule>
    <cfRule type="expression" dxfId="18039" priority="51222">
      <formula>IF($B8="VOID",TRUE,FALSE)</formula>
    </cfRule>
    <cfRule type="expression" dxfId="18038" priority="51223">
      <formula>IF($B8="VOID",TRUE,FALSE)</formula>
    </cfRule>
    <cfRule type="expression" dxfId="18037" priority="51224">
      <formula>IF($B8="VOID",TRUE,FALSE)</formula>
    </cfRule>
    <cfRule type="expression" dxfId="18036" priority="51225">
      <formula>IF($B8="VOID",TRUE,FALSE)</formula>
    </cfRule>
    <cfRule type="expression" dxfId="18035" priority="51226">
      <formula>IF($B8="VOID",TRUE,FALSE)</formula>
    </cfRule>
    <cfRule type="expression" dxfId="18034" priority="51227">
      <formula>IF($B8="VOID",TRUE,FALSE)</formula>
    </cfRule>
    <cfRule type="expression" dxfId="18033" priority="51228">
      <formula>IF($B8="VOID",TRUE,FALSE)</formula>
    </cfRule>
    <cfRule type="expression" dxfId="18032" priority="51229">
      <formula>IF($B8="VOID",TRUE,FALSE)</formula>
    </cfRule>
    <cfRule type="expression" dxfId="18031" priority="51230">
      <formula>IF($B8="VOID",TRUE,FALSE)</formula>
    </cfRule>
    <cfRule type="expression" dxfId="18030" priority="51231">
      <formula>IF($B8="VOID",TRUE,FALSE)</formula>
    </cfRule>
    <cfRule type="expression" dxfId="18029" priority="51232">
      <formula>IF($B8="VOID",TRUE,FALSE)</formula>
    </cfRule>
    <cfRule type="expression" dxfId="18028" priority="51233">
      <formula>IF($B8="Quoting",TRUE,FALSE)</formula>
    </cfRule>
    <cfRule type="expression" dxfId="18027" priority="51328">
      <formula>IF($B8="Quoting",TRUE,FALSE)</formula>
    </cfRule>
    <cfRule type="expression" dxfId="18026" priority="51329">
      <formula>IF($B8="Quoting",TRUE,FALSE)</formula>
    </cfRule>
    <cfRule type="expression" dxfId="18025" priority="51330">
      <formula>IF($B8="Quoting",TRUE,FALSE)</formula>
    </cfRule>
    <cfRule type="expression" dxfId="18024" priority="51331">
      <formula>IF($B8="Quoting",TRUE,FALSE)</formula>
    </cfRule>
    <cfRule type="expression" dxfId="18023" priority="51332">
      <formula>IF($B8="Quoting",TRUE,FALSE)</formula>
    </cfRule>
    <cfRule type="expression" dxfId="18022" priority="51333">
      <formula>IF($B8="Quoting",TRUE,FALSE)</formula>
    </cfRule>
    <cfRule type="expression" dxfId="18021" priority="51334">
      <formula>IF($B8="Quoting",TRUE,FALSE)</formula>
    </cfRule>
    <cfRule type="expression" dxfId="18020" priority="51335">
      <formula>IF($B8="Quoting",TRUE,FALSE)</formula>
    </cfRule>
    <cfRule type="expression" dxfId="18019" priority="51336">
      <formula>IF($B8="Quoting",TRUE,FALSE)</formula>
    </cfRule>
    <cfRule type="expression" dxfId="18018" priority="51337">
      <formula>IF($B8="Quoting",TRUE,FALSE)</formula>
    </cfRule>
    <cfRule type="expression" dxfId="18017" priority="51338">
      <formula>IF($B8="Quoting",TRUE,FALSE)</formula>
    </cfRule>
    <cfRule type="expression" dxfId="18016" priority="51339">
      <formula>IF($B8="Quoting",TRUE,FALSE)</formula>
    </cfRule>
    <cfRule type="expression" dxfId="18015" priority="51340">
      <formula>IF($B8="VOID",TRUE,FALSE)</formula>
    </cfRule>
    <cfRule type="expression" dxfId="18014" priority="51341">
      <formula>IF($B8="Quoting",TRUE,FALSE)</formula>
    </cfRule>
    <cfRule type="expression" dxfId="18013" priority="51342">
      <formula>IF($B8="Quoting",TRUE,FALSE)</formula>
    </cfRule>
    <cfRule type="expression" dxfId="18012" priority="51343">
      <formula>IF($B8="Quoting",TRUE,FALSE)</formula>
    </cfRule>
    <cfRule type="expression" dxfId="18011" priority="51344">
      <formula>IF($B8="Quoting",TRUE,FALSE)</formula>
    </cfRule>
    <cfRule type="expression" dxfId="18010" priority="51345">
      <formula>IF($B8="Quoting",TRUE,FALSE)</formula>
    </cfRule>
    <cfRule type="expression" dxfId="18009" priority="51346">
      <formula>IF($B8="Quoting",TRUE,FALSE)</formula>
    </cfRule>
    <cfRule type="expression" dxfId="18008" priority="51347">
      <formula>IF($B8="Quoting",TRUE,FALSE)</formula>
    </cfRule>
    <cfRule type="expression" dxfId="18007" priority="51348">
      <formula>IF($B8="Quoting",TRUE,FALSE)</formula>
    </cfRule>
    <cfRule type="expression" dxfId="18006" priority="51349">
      <formula>IF($B8="Quoting",TRUE,FALSE)</formula>
    </cfRule>
    <cfRule type="expression" dxfId="18005" priority="51350">
      <formula>IF($B8="Quoting",TRUE,FALSE)</formula>
    </cfRule>
    <cfRule type="expression" dxfId="18004" priority="51351">
      <formula>IF($B8="Quoting",TRUE,FALSE)</formula>
    </cfRule>
    <cfRule type="expression" dxfId="18003" priority="51352">
      <formula>IF($B8="Quoting",TRUE,FALSE)</formula>
    </cfRule>
    <cfRule type="expression" dxfId="18002" priority="51353">
      <formula>IF($B8="Quoting",TRUE,FALSE)</formula>
    </cfRule>
    <cfRule type="expression" dxfId="18001" priority="51354">
      <formula>IF($B8="Quoting",TRUE,FALSE)</formula>
    </cfRule>
    <cfRule type="expression" dxfId="18000" priority="51355">
      <formula>IF($B8="Quoting",TRUE,FALSE)</formula>
    </cfRule>
    <cfRule type="expression" dxfId="17999" priority="51356">
      <formula>IF($B8="Quoting",TRUE,FALSE)</formula>
    </cfRule>
    <cfRule type="expression" dxfId="17998" priority="51357">
      <formula>IF($B8="Quoting",TRUE,FALSE)</formula>
    </cfRule>
    <cfRule type="expression" dxfId="17997" priority="51358">
      <formula>IF($B8="Quoting",TRUE,FALSE)</formula>
    </cfRule>
    <cfRule type="expression" dxfId="17996" priority="51359">
      <formula>IF($B8="Quoting",TRUE,FALSE)</formula>
    </cfRule>
    <cfRule type="expression" dxfId="17995" priority="51360">
      <formula>IF($B8="Quoting",TRUE,FALSE)</formula>
    </cfRule>
    <cfRule type="expression" dxfId="17994" priority="51361">
      <formula>IF($B8="Quoting",TRUE,FALSE)</formula>
    </cfRule>
    <cfRule type="expression" dxfId="17993" priority="51362">
      <formula>IF($B8="Quoting",TRUE,FALSE)</formula>
    </cfRule>
    <cfRule type="expression" dxfId="17992" priority="51363">
      <formula>IF($B8="VOID",TRUE,FALSE)</formula>
    </cfRule>
    <cfRule type="expression" dxfId="17991" priority="51364">
      <formula>IF($B8="Quoting",TRUE,FALSE)</formula>
    </cfRule>
    <cfRule type="expression" dxfId="17990" priority="51365">
      <formula>IF($B8="Quoting",TRUE,FALSE)</formula>
    </cfRule>
    <cfRule type="expression" dxfId="17989" priority="51366">
      <formula>IF($B8="VOID",TRUE,FALSE)</formula>
    </cfRule>
    <cfRule type="expression" dxfId="17988" priority="51367">
      <formula>IF($B8="Quoting",TRUE,FALSE)</formula>
    </cfRule>
    <cfRule type="expression" dxfId="17987" priority="51368">
      <formula>IF($B8="Quoting",TRUE,FALSE)</formula>
    </cfRule>
    <cfRule type="expression" dxfId="17986" priority="51369">
      <formula>IF($B8="Quoting",TRUE,FALSE)</formula>
    </cfRule>
    <cfRule type="expression" dxfId="17985" priority="51370">
      <formula>IF($B8="VOID",TRUE,FALSE)</formula>
    </cfRule>
    <cfRule type="expression" dxfId="17984" priority="51371">
      <formula>IF($B8="Quoting",TRUE,FALSE)</formula>
    </cfRule>
    <cfRule type="expression" dxfId="17983" priority="51372">
      <formula>IF($B8="Quoting",TRUE,FALSE)</formula>
    </cfRule>
    <cfRule type="expression" dxfId="17982" priority="51373">
      <formula>IF($B8="Quoting",TRUE,FALSE)</formula>
    </cfRule>
    <cfRule type="expression" dxfId="17981" priority="51374">
      <formula>IF($B8="Quoting",TRUE,FALSE)</formula>
    </cfRule>
    <cfRule type="expression" dxfId="17980" priority="51375">
      <formula>IF($B8="Quoting",TRUE,FALSE)</formula>
    </cfRule>
    <cfRule type="expression" dxfId="17979" priority="51376">
      <formula>IF($B8="Quoting",TRUE,FALSE)</formula>
    </cfRule>
    <cfRule type="expression" dxfId="17978" priority="51377">
      <formula>IF($B8="Quoting",TRUE,FALSE)</formula>
    </cfRule>
    <cfRule type="expression" dxfId="17977" priority="51378">
      <formula>IF($B8="Quoting",TRUE,FALSE)</formula>
    </cfRule>
    <cfRule type="expression" dxfId="17976" priority="51379">
      <formula>IF($B8="Quoting",TRUE,FALSE)</formula>
    </cfRule>
    <cfRule type="expression" dxfId="17975" priority="51380">
      <formula>IF($B8="Quoting",TRUE,FALSE)</formula>
    </cfRule>
    <cfRule type="expression" dxfId="17974" priority="51381">
      <formula>IF($B8="Quoting",TRUE,FALSE)</formula>
    </cfRule>
    <cfRule type="expression" dxfId="17973" priority="51382">
      <formula>IF($B8="Quoting",TRUE,FALSE)</formula>
    </cfRule>
    <cfRule type="expression" dxfId="17972" priority="51383">
      <formula>IF($B8="Quoting",TRUE,FALSE)</formula>
    </cfRule>
    <cfRule type="expression" dxfId="17971" priority="51384">
      <formula>IF($B8="Quoting",TRUE,FALSE)</formula>
    </cfRule>
    <cfRule type="expression" dxfId="17970" priority="51385">
      <formula>IF($B8="Quoting",TRUE,FALSE)</formula>
    </cfRule>
    <cfRule type="expression" dxfId="17969" priority="51386">
      <formula>IF($B8="Quoting",TRUE,FALSE)</formula>
    </cfRule>
    <cfRule type="expression" dxfId="17968" priority="51387">
      <formula>IF($B8="Quoting",TRUE,FALSE)</formula>
    </cfRule>
    <cfRule type="expression" dxfId="17967" priority="51388">
      <formula>IF($B8="Quoting",TRUE,FALSE)</formula>
    </cfRule>
    <cfRule type="expression" dxfId="17966" priority="51389">
      <formula>IF($B8="Quoting",TRUE,FALSE)</formula>
    </cfRule>
    <cfRule type="expression" dxfId="17965" priority="51390">
      <formula>IF($B8="Quoting",TRUE,FALSE)</formula>
    </cfRule>
    <cfRule type="expression" dxfId="17964" priority="51391">
      <formula>IF($B8="Quoting",TRUE,FALSE)</formula>
    </cfRule>
    <cfRule type="expression" dxfId="17963" priority="51392">
      <formula>IF($B8="Quoting",TRUE,FALSE)</formula>
    </cfRule>
    <cfRule type="expression" dxfId="17962" priority="51393">
      <formula>IF($B8="Quoting",TRUE,FALSE)</formula>
    </cfRule>
    <cfRule type="expression" dxfId="17961" priority="51394">
      <formula>IF($B8="Quoting",TRUE,FALSE)</formula>
    </cfRule>
    <cfRule type="expression" dxfId="17960" priority="51395">
      <formula>IF($B8="Quoting",TRUE,FALSE)</formula>
    </cfRule>
    <cfRule type="expression" dxfId="17959" priority="51396">
      <formula>IF($B8="Quoting",TRUE,FALSE)</formula>
    </cfRule>
    <cfRule type="expression" dxfId="17958" priority="51397">
      <formula>IF($B8="Quoting",TRUE,FALSE)</formula>
    </cfRule>
    <cfRule type="expression" dxfId="17957" priority="51398">
      <formula>IF($B8="Quoting",TRUE,FALSE)</formula>
    </cfRule>
  </conditionalFormatting>
  <conditionalFormatting sqref="D9">
    <cfRule type="expression" dxfId="17956" priority="50842">
      <formula>IF($B9="Quoting",TRUE,FALSE)</formula>
    </cfRule>
    <cfRule type="expression" dxfId="17955" priority="50843">
      <formula>IF($B9="Quoting",TRUE,FALSE)</formula>
    </cfRule>
    <cfRule type="expression" dxfId="17954" priority="50844">
      <formula>IF($B9="Quoting",TRUE,FALSE)</formula>
    </cfRule>
    <cfRule type="expression" dxfId="17953" priority="50845">
      <formula>IF($B9="Quoting",TRUE,FALSE)</formula>
    </cfRule>
    <cfRule type="expression" dxfId="17952" priority="50846">
      <formula>IF($B9="Quoting",TRUE,FALSE)</formula>
    </cfRule>
    <cfRule type="expression" dxfId="17951" priority="50847">
      <formula>IF($B9="Quoting",TRUE,FALSE)</formula>
    </cfRule>
    <cfRule type="expression" dxfId="17950" priority="50848">
      <formula>IF($B9="Quoting",TRUE,FALSE)</formula>
    </cfRule>
    <cfRule type="expression" dxfId="17949" priority="50849">
      <formula>IF($B9="Quoting",TRUE,FALSE)</formula>
    </cfRule>
    <cfRule type="expression" dxfId="17948" priority="50850">
      <formula>IF($B9="Quoting",TRUE,FALSE)</formula>
    </cfRule>
    <cfRule type="expression" dxfId="17947" priority="50851">
      <formula>IF($B9="Quoting",TRUE,FALSE)</formula>
    </cfRule>
    <cfRule type="expression" dxfId="17946" priority="50852">
      <formula>IF($B9="Quoting",TRUE,FALSE)</formula>
    </cfRule>
    <cfRule type="expression" dxfId="17945" priority="50853">
      <formula>IF($B9="Quoting",TRUE,FALSE)</formula>
    </cfRule>
    <cfRule type="expression" dxfId="17944" priority="50854">
      <formula>IF($B9="VOID",TRUE,FALSE)</formula>
    </cfRule>
    <cfRule type="expression" dxfId="17943" priority="50855">
      <formula>IF($B9="VOID",TRUE,FALSE)</formula>
    </cfRule>
    <cfRule type="expression" dxfId="17942" priority="50856">
      <formula>IF($B9="VOID",TRUE,FALSE)</formula>
    </cfRule>
    <cfRule type="expression" dxfId="17941" priority="50857">
      <formula>IF($B9="Quoting",TRUE,FALSE)</formula>
    </cfRule>
    <cfRule type="expression" dxfId="17940" priority="50858">
      <formula>IF($B9="Quoting",TRUE,FALSE)</formula>
    </cfRule>
    <cfRule type="expression" dxfId="17939" priority="50859">
      <formula>IF($B9="Quoting",TRUE,FALSE)</formula>
    </cfRule>
    <cfRule type="expression" dxfId="17938" priority="50860">
      <formula>IF($B9="Quoting",TRUE,FALSE)</formula>
    </cfRule>
    <cfRule type="expression" dxfId="17937" priority="50861">
      <formula>IF($B9="Quoting",TRUE,FALSE)</formula>
    </cfRule>
    <cfRule type="expression" dxfId="17936" priority="50862">
      <formula>IF($B9="Quoting",TRUE,FALSE)</formula>
    </cfRule>
    <cfRule type="expression" dxfId="17935" priority="50863">
      <formula>IF($B9="Quoting",TRUE,FALSE)</formula>
    </cfRule>
    <cfRule type="expression" dxfId="17934" priority="50864">
      <formula>IF($B9="Quoting",TRUE,FALSE)</formula>
    </cfRule>
    <cfRule type="expression" dxfId="17933" priority="50865">
      <formula>IF($B9="Quoting",TRUE,FALSE)</formula>
    </cfRule>
    <cfRule type="expression" dxfId="17932" priority="50866">
      <formula>IF($B9="Quoting",TRUE,FALSE)</formula>
    </cfRule>
    <cfRule type="expression" dxfId="17931" priority="50867">
      <formula>IF($B9="Quoting",TRUE,FALSE)</formula>
    </cfRule>
    <cfRule type="expression" dxfId="17930" priority="50868">
      <formula>IF($B9="Quoting",TRUE,FALSE)</formula>
    </cfRule>
    <cfRule type="expression" dxfId="17929" priority="50869">
      <formula>IF($B9="VOID",TRUE,FALSE)</formula>
    </cfRule>
    <cfRule type="expression" dxfId="17928" priority="50870">
      <formula>IF($B9="VOID",TRUE,FALSE)</formula>
    </cfRule>
    <cfRule type="expression" dxfId="17927" priority="50871">
      <formula>IF($B9="VOID",TRUE,FALSE)</formula>
    </cfRule>
    <cfRule type="expression" dxfId="17926" priority="50872">
      <formula>IF($B9="VOID",TRUE,FALSE)</formula>
    </cfRule>
    <cfRule type="expression" dxfId="17925" priority="50873">
      <formula>IF($B9="VOID",TRUE,FALSE)</formula>
    </cfRule>
    <cfRule type="expression" dxfId="17924" priority="50874">
      <formula>IF($B9="VOID",TRUE,FALSE)</formula>
    </cfRule>
    <cfRule type="expression" dxfId="17923" priority="50875">
      <formula>IF($B9="Quoting",TRUE,FALSE)</formula>
    </cfRule>
    <cfRule type="expression" dxfId="17922" priority="50876">
      <formula>IF($B9="Quoting",TRUE,FALSE)</formula>
    </cfRule>
    <cfRule type="expression" dxfId="17921" priority="50877">
      <formula>IF($B9="Quoting",TRUE,FALSE)</formula>
    </cfRule>
    <cfRule type="expression" dxfId="17920" priority="50878">
      <formula>IF($B9="Quoting",TRUE,FALSE)</formula>
    </cfRule>
    <cfRule type="expression" dxfId="17919" priority="50879">
      <formula>IF($B9="VOID",TRUE,FALSE)</formula>
    </cfRule>
    <cfRule type="expression" dxfId="17918" priority="50880">
      <formula>IF($B9="VOID",TRUE,FALSE)</formula>
    </cfRule>
    <cfRule type="expression" dxfId="17917" priority="50881">
      <formula>IF($B9="Quoting",TRUE,FALSE)</formula>
    </cfRule>
    <cfRule type="expression" dxfId="17916" priority="50882">
      <formula>IF($B9="Quoting",TRUE,FALSE)</formula>
    </cfRule>
    <cfRule type="expression" dxfId="17915" priority="50883">
      <formula>IF($B9="Quoting",TRUE,FALSE)</formula>
    </cfRule>
    <cfRule type="expression" dxfId="17914" priority="50884">
      <formula>IF($B9="Quoting",TRUE,FALSE)</formula>
    </cfRule>
    <cfRule type="expression" dxfId="17913" priority="50885">
      <formula>IF($B9="Quoting",TRUE,FALSE)</formula>
    </cfRule>
    <cfRule type="expression" dxfId="17912" priority="50886">
      <formula>IF($B9="Quoting",TRUE,FALSE)</formula>
    </cfRule>
    <cfRule type="expression" dxfId="17911" priority="50887">
      <formula>IF($B9="Quoting",TRUE,FALSE)</formula>
    </cfRule>
    <cfRule type="expression" dxfId="17910" priority="50888">
      <formula>IF($B9="Quoting",TRUE,FALSE)</formula>
    </cfRule>
    <cfRule type="expression" dxfId="17909" priority="50889">
      <formula>IF($B9="Quoting",TRUE,FALSE)</formula>
    </cfRule>
    <cfRule type="expression" dxfId="17908" priority="50890">
      <formula>IF($B9="Quoting",TRUE,FALSE)</formula>
    </cfRule>
    <cfRule type="expression" dxfId="17907" priority="50891">
      <formula>IF($B9="Quoting",TRUE,FALSE)</formula>
    </cfRule>
    <cfRule type="expression" dxfId="17906" priority="50892">
      <formula>IF($B9="Quoting",TRUE,FALSE)</formula>
    </cfRule>
    <cfRule type="expression" dxfId="17905" priority="50893">
      <formula>IF($B9="Quoting",TRUE,FALSE)</formula>
    </cfRule>
    <cfRule type="expression" dxfId="17904" priority="50894">
      <formula>IF($B9="Quoting",TRUE,FALSE)</formula>
    </cfRule>
    <cfRule type="expression" dxfId="17903" priority="50895">
      <formula>IF($B9="Quoting",TRUE,FALSE)</formula>
    </cfRule>
    <cfRule type="expression" dxfId="17902" priority="50896">
      <formula>IF($B9="Quoting",TRUE,FALSE)</formula>
    </cfRule>
    <cfRule type="expression" dxfId="17901" priority="50897">
      <formula>IF($B9="Quoting",TRUE,FALSE)</formula>
    </cfRule>
    <cfRule type="expression" dxfId="17900" priority="50898">
      <formula>IF($B9="Quoting",TRUE,FALSE)</formula>
    </cfRule>
    <cfRule type="expression" dxfId="17899" priority="50899">
      <formula>IF($B9="Quoting",TRUE,FALSE)</formula>
    </cfRule>
    <cfRule type="expression" dxfId="17898" priority="50900">
      <formula>IF($B9="Quoting",TRUE,FALSE)</formula>
    </cfRule>
    <cfRule type="expression" dxfId="17897" priority="50901">
      <formula>IF($B9="Quoting",TRUE,FALSE)</formula>
    </cfRule>
    <cfRule type="expression" dxfId="17896" priority="50902">
      <formula>IF($B9="Quoting",TRUE,FALSE)</formula>
    </cfRule>
    <cfRule type="expression" dxfId="17895" priority="50903">
      <formula>IF($B9="Quoting",TRUE,FALSE)</formula>
    </cfRule>
    <cfRule type="expression" dxfId="17894" priority="50904">
      <formula>IF($B9="Quoting",TRUE,FALSE)</formula>
    </cfRule>
    <cfRule type="expression" dxfId="17893" priority="50905">
      <formula>IF($B9="VOID",TRUE,FALSE)</formula>
    </cfRule>
    <cfRule type="expression" dxfId="17892" priority="50906">
      <formula>IF($B9="Quoting",TRUE,FALSE)</formula>
    </cfRule>
    <cfRule type="expression" dxfId="17891" priority="50907">
      <formula>IF($B9="Quoting",TRUE,FALSE)</formula>
    </cfRule>
    <cfRule type="expression" dxfId="17890" priority="50908">
      <formula>IF($B9="VOID",TRUE,FALSE)</formula>
    </cfRule>
    <cfRule type="expression" dxfId="17889" priority="50909">
      <formula>IF($B9="VOID",TRUE,FALSE)</formula>
    </cfRule>
    <cfRule type="expression" dxfId="17888" priority="50910">
      <formula>IF($B9="VOID",TRUE,FALSE)</formula>
    </cfRule>
    <cfRule type="expression" dxfId="17887" priority="50911">
      <formula>IF($B9="VOID",TRUE,FALSE)</formula>
    </cfRule>
    <cfRule type="expression" dxfId="17886" priority="50912">
      <formula>IF($B9="VOID",TRUE,FALSE)</formula>
    </cfRule>
    <cfRule type="expression" dxfId="17885" priority="50913">
      <formula>IF($B9="VOID",TRUE,FALSE)</formula>
    </cfRule>
    <cfRule type="expression" dxfId="17884" priority="50914">
      <formula>IF($B9="VOID",TRUE,FALSE)</formula>
    </cfRule>
    <cfRule type="expression" dxfId="17883" priority="50915">
      <formula>IF($B9="VOID",TRUE,FALSE)</formula>
    </cfRule>
    <cfRule type="expression" dxfId="17882" priority="50916">
      <formula>IF($B9="VOID",TRUE,FALSE)</formula>
    </cfRule>
    <cfRule type="expression" dxfId="17881" priority="50917">
      <formula>IF($B9="VOID",TRUE,FALSE)</formula>
    </cfRule>
    <cfRule type="expression" dxfId="17880" priority="50918">
      <formula>IF($B9="VOID",TRUE,FALSE)</formula>
    </cfRule>
    <cfRule type="expression" dxfId="17879" priority="50919">
      <formula>IF($B9="VOID",TRUE,FALSE)</formula>
    </cfRule>
    <cfRule type="expression" dxfId="17878" priority="50920">
      <formula>IF($B9="VOID",TRUE,FALSE)</formula>
    </cfRule>
    <cfRule type="expression" dxfId="17877" priority="50921">
      <formula>IF($B9="Quoting",TRUE,FALSE)</formula>
    </cfRule>
  </conditionalFormatting>
  <conditionalFormatting sqref="D10">
    <cfRule type="expression" dxfId="17876" priority="50654">
      <formula>IF($B10="VOID",TRUE,FALSE)</formula>
    </cfRule>
    <cfRule type="expression" dxfId="17875" priority="50655">
      <formula>IF($B10="VOID",TRUE,FALSE)</formula>
    </cfRule>
    <cfRule type="expression" dxfId="17874" priority="50656">
      <formula>IF($B10="VOID",TRUE,FALSE)</formula>
    </cfRule>
    <cfRule type="expression" dxfId="17873" priority="50657">
      <formula>IF($B10="VOID",TRUE,FALSE)</formula>
    </cfRule>
    <cfRule type="expression" dxfId="17872" priority="50658">
      <formula>IF($B10="VOID",TRUE,FALSE)</formula>
    </cfRule>
    <cfRule type="expression" dxfId="17871" priority="50659">
      <formula>IF($B10="VOID",TRUE,FALSE)</formula>
    </cfRule>
    <cfRule type="expression" dxfId="17870" priority="50660">
      <formula>IF($B10="VOID",TRUE,FALSE)</formula>
    </cfRule>
    <cfRule type="expression" dxfId="17869" priority="50661">
      <formula>IF($B10="VOID",TRUE,FALSE)</formula>
    </cfRule>
    <cfRule type="expression" dxfId="17868" priority="50662">
      <formula>IF($B10="VOID",TRUE,FALSE)</formula>
    </cfRule>
    <cfRule type="expression" dxfId="17867" priority="50663">
      <formula>IF($B10="VOID",TRUE,FALSE)</formula>
    </cfRule>
    <cfRule type="expression" dxfId="17866" priority="50664">
      <formula>IF($B10="VOID",TRUE,FALSE)</formula>
    </cfRule>
    <cfRule type="expression" dxfId="17865" priority="50665">
      <formula>IF($B10="VOID",TRUE,FALSE)</formula>
    </cfRule>
    <cfRule type="expression" dxfId="17864" priority="50666">
      <formula>IF($B10="VOID",TRUE,FALSE)</formula>
    </cfRule>
    <cfRule type="expression" dxfId="17863" priority="50667">
      <formula>IF($B10="VOID",TRUE,FALSE)</formula>
    </cfRule>
    <cfRule type="expression" dxfId="17862" priority="50668">
      <formula>IF($B10="VOID",TRUE,FALSE)</formula>
    </cfRule>
    <cfRule type="expression" dxfId="17861" priority="50669">
      <formula>IF($B10="VOID",TRUE,FALSE)</formula>
    </cfRule>
    <cfRule type="expression" dxfId="17860" priority="50670">
      <formula>IF($B10="VOID",TRUE,FALSE)</formula>
    </cfRule>
    <cfRule type="expression" dxfId="17859" priority="50671">
      <formula>IF($B10="VOID",TRUE,FALSE)</formula>
    </cfRule>
    <cfRule type="expression" dxfId="17858" priority="50672">
      <formula>IF($B10="Quoting",TRUE,FALSE)</formula>
    </cfRule>
    <cfRule type="expression" dxfId="17857" priority="50767">
      <formula>IF($B10="Quoting",TRUE,FALSE)</formula>
    </cfRule>
    <cfRule type="expression" dxfId="17856" priority="50768">
      <formula>IF($B10="Quoting",TRUE,FALSE)</formula>
    </cfRule>
    <cfRule type="expression" dxfId="17855" priority="50769">
      <formula>IF($B10="Quoting",TRUE,FALSE)</formula>
    </cfRule>
    <cfRule type="expression" dxfId="17854" priority="50770">
      <formula>IF($B10="Quoting",TRUE,FALSE)</formula>
    </cfRule>
    <cfRule type="expression" dxfId="17853" priority="50771">
      <formula>IF($B10="Quoting",TRUE,FALSE)</formula>
    </cfRule>
    <cfRule type="expression" dxfId="17852" priority="50772">
      <formula>IF($B10="Quoting",TRUE,FALSE)</formula>
    </cfRule>
    <cfRule type="expression" dxfId="17851" priority="50773">
      <formula>IF($B10="Quoting",TRUE,FALSE)</formula>
    </cfRule>
    <cfRule type="expression" dxfId="17850" priority="50774">
      <formula>IF($B10="Quoting",TRUE,FALSE)</formula>
    </cfRule>
    <cfRule type="expression" dxfId="17849" priority="50775">
      <formula>IF($B10="Quoting",TRUE,FALSE)</formula>
    </cfRule>
    <cfRule type="expression" dxfId="17848" priority="50776">
      <formula>IF($B10="Quoting",TRUE,FALSE)</formula>
    </cfRule>
    <cfRule type="expression" dxfId="17847" priority="50777">
      <formula>IF($B10="Quoting",TRUE,FALSE)</formula>
    </cfRule>
    <cfRule type="expression" dxfId="17846" priority="50778">
      <formula>IF($B10="Quoting",TRUE,FALSE)</formula>
    </cfRule>
    <cfRule type="expression" dxfId="17845" priority="50779">
      <formula>IF($B10="VOID",TRUE,FALSE)</formula>
    </cfRule>
    <cfRule type="expression" dxfId="17844" priority="50780">
      <formula>IF($B10="Quoting",TRUE,FALSE)</formula>
    </cfRule>
    <cfRule type="expression" dxfId="17843" priority="50781">
      <formula>IF($B10="Quoting",TRUE,FALSE)</formula>
    </cfRule>
    <cfRule type="expression" dxfId="17842" priority="50782">
      <formula>IF($B10="Quoting",TRUE,FALSE)</formula>
    </cfRule>
    <cfRule type="expression" dxfId="17841" priority="50783">
      <formula>IF($B10="Quoting",TRUE,FALSE)</formula>
    </cfRule>
    <cfRule type="expression" dxfId="17840" priority="50784">
      <formula>IF($B10="Quoting",TRUE,FALSE)</formula>
    </cfRule>
    <cfRule type="expression" dxfId="17839" priority="50785">
      <formula>IF($B10="Quoting",TRUE,FALSE)</formula>
    </cfRule>
    <cfRule type="expression" dxfId="17838" priority="50786">
      <formula>IF($B10="Quoting",TRUE,FALSE)</formula>
    </cfRule>
    <cfRule type="expression" dxfId="17837" priority="50787">
      <formula>IF($B10="Quoting",TRUE,FALSE)</formula>
    </cfRule>
    <cfRule type="expression" dxfId="17836" priority="50788">
      <formula>IF($B10="Quoting",TRUE,FALSE)</formula>
    </cfRule>
    <cfRule type="expression" dxfId="17835" priority="50789">
      <formula>IF($B10="Quoting",TRUE,FALSE)</formula>
    </cfRule>
    <cfRule type="expression" dxfId="17834" priority="50790">
      <formula>IF($B10="Quoting",TRUE,FALSE)</formula>
    </cfRule>
    <cfRule type="expression" dxfId="17833" priority="50791">
      <formula>IF($B10="Quoting",TRUE,FALSE)</formula>
    </cfRule>
    <cfRule type="expression" dxfId="17832" priority="50792">
      <formula>IF($B10="Quoting",TRUE,FALSE)</formula>
    </cfRule>
    <cfRule type="expression" dxfId="17831" priority="50793">
      <formula>IF($B10="Quoting",TRUE,FALSE)</formula>
    </cfRule>
    <cfRule type="expression" dxfId="17830" priority="50794">
      <formula>IF($B10="Quoting",TRUE,FALSE)</formula>
    </cfRule>
    <cfRule type="expression" dxfId="17829" priority="50795">
      <formula>IF($B10="Quoting",TRUE,FALSE)</formula>
    </cfRule>
    <cfRule type="expression" dxfId="17828" priority="50796">
      <formula>IF($B10="Quoting",TRUE,FALSE)</formula>
    </cfRule>
    <cfRule type="expression" dxfId="17827" priority="50797">
      <formula>IF($B10="Quoting",TRUE,FALSE)</formula>
    </cfRule>
    <cfRule type="expression" dxfId="17826" priority="50798">
      <formula>IF($B10="Quoting",TRUE,FALSE)</formula>
    </cfRule>
    <cfRule type="expression" dxfId="17825" priority="50799">
      <formula>IF($B10="Quoting",TRUE,FALSE)</formula>
    </cfRule>
    <cfRule type="expression" dxfId="17824" priority="50800">
      <formula>IF($B10="Quoting",TRUE,FALSE)</formula>
    </cfRule>
    <cfRule type="expression" dxfId="17823" priority="50801">
      <formula>IF($B10="Quoting",TRUE,FALSE)</formula>
    </cfRule>
    <cfRule type="expression" dxfId="17822" priority="50802">
      <formula>IF($B10="VOID",TRUE,FALSE)</formula>
    </cfRule>
    <cfRule type="expression" dxfId="17821" priority="50803">
      <formula>IF($B10="Quoting",TRUE,FALSE)</formula>
    </cfRule>
    <cfRule type="expression" dxfId="17820" priority="50804">
      <formula>IF($B10="Quoting",TRUE,FALSE)</formula>
    </cfRule>
    <cfRule type="expression" dxfId="17819" priority="50805">
      <formula>IF($B10="VOID",TRUE,FALSE)</formula>
    </cfRule>
    <cfRule type="expression" dxfId="17818" priority="50806">
      <formula>IF($B10="Quoting",TRUE,FALSE)</formula>
    </cfRule>
    <cfRule type="expression" dxfId="17817" priority="50807">
      <formula>IF($B10="Quoting",TRUE,FALSE)</formula>
    </cfRule>
    <cfRule type="expression" dxfId="17816" priority="50808">
      <formula>IF($B10="Quoting",TRUE,FALSE)</formula>
    </cfRule>
    <cfRule type="expression" dxfId="17815" priority="50809">
      <formula>IF($B10="VOID",TRUE,FALSE)</formula>
    </cfRule>
    <cfRule type="expression" dxfId="17814" priority="50810">
      <formula>IF($B10="Quoting",TRUE,FALSE)</formula>
    </cfRule>
    <cfRule type="expression" dxfId="17813" priority="50811">
      <formula>IF($B10="Quoting",TRUE,FALSE)</formula>
    </cfRule>
    <cfRule type="expression" dxfId="17812" priority="50812">
      <formula>IF($B10="Quoting",TRUE,FALSE)</formula>
    </cfRule>
    <cfRule type="expression" dxfId="17811" priority="50813">
      <formula>IF($B10="Quoting",TRUE,FALSE)</formula>
    </cfRule>
    <cfRule type="expression" dxfId="17810" priority="50814">
      <formula>IF($B10="Quoting",TRUE,FALSE)</formula>
    </cfRule>
    <cfRule type="expression" dxfId="17809" priority="50815">
      <formula>IF($B10="Quoting",TRUE,FALSE)</formula>
    </cfRule>
    <cfRule type="expression" dxfId="17808" priority="50816">
      <formula>IF($B10="Quoting",TRUE,FALSE)</formula>
    </cfRule>
    <cfRule type="expression" dxfId="17807" priority="50817">
      <formula>IF($B10="Quoting",TRUE,FALSE)</formula>
    </cfRule>
    <cfRule type="expression" dxfId="17806" priority="50818">
      <formula>IF($B10="Quoting",TRUE,FALSE)</formula>
    </cfRule>
    <cfRule type="expression" dxfId="17805" priority="50819">
      <formula>IF($B10="Quoting",TRUE,FALSE)</formula>
    </cfRule>
    <cfRule type="expression" dxfId="17804" priority="50820">
      <formula>IF($B10="Quoting",TRUE,FALSE)</formula>
    </cfRule>
    <cfRule type="expression" dxfId="17803" priority="50821">
      <formula>IF($B10="Quoting",TRUE,FALSE)</formula>
    </cfRule>
    <cfRule type="expression" dxfId="17802" priority="50822">
      <formula>IF($B10="Quoting",TRUE,FALSE)</formula>
    </cfRule>
    <cfRule type="expression" dxfId="17801" priority="50823">
      <formula>IF($B10="Quoting",TRUE,FALSE)</formula>
    </cfRule>
    <cfRule type="expression" dxfId="17800" priority="50824">
      <formula>IF($B10="Quoting",TRUE,FALSE)</formula>
    </cfRule>
    <cfRule type="expression" dxfId="17799" priority="50825">
      <formula>IF($B10="Quoting",TRUE,FALSE)</formula>
    </cfRule>
    <cfRule type="expression" dxfId="17798" priority="50826">
      <formula>IF($B10="Quoting",TRUE,FALSE)</formula>
    </cfRule>
    <cfRule type="expression" dxfId="17797" priority="50827">
      <formula>IF($B10="Quoting",TRUE,FALSE)</formula>
    </cfRule>
    <cfRule type="expression" dxfId="17796" priority="50828">
      <formula>IF($B10="Quoting",TRUE,FALSE)</formula>
    </cfRule>
    <cfRule type="expression" dxfId="17795" priority="50829">
      <formula>IF($B10="Quoting",TRUE,FALSE)</formula>
    </cfRule>
    <cfRule type="expression" dxfId="17794" priority="50830">
      <formula>IF($B10="Quoting",TRUE,FALSE)</formula>
    </cfRule>
    <cfRule type="expression" dxfId="17793" priority="50831">
      <formula>IF($B10="Quoting",TRUE,FALSE)</formula>
    </cfRule>
    <cfRule type="expression" dxfId="17792" priority="50832">
      <formula>IF($B10="Quoting",TRUE,FALSE)</formula>
    </cfRule>
    <cfRule type="expression" dxfId="17791" priority="50833">
      <formula>IF($B10="Quoting",TRUE,FALSE)</formula>
    </cfRule>
    <cfRule type="expression" dxfId="17790" priority="50834">
      <formula>IF($B10="Quoting",TRUE,FALSE)</formula>
    </cfRule>
    <cfRule type="expression" dxfId="17789" priority="50835">
      <formula>IF($B10="Quoting",TRUE,FALSE)</formula>
    </cfRule>
    <cfRule type="expression" dxfId="17788" priority="50836">
      <formula>IF($B10="Quoting",TRUE,FALSE)</formula>
    </cfRule>
    <cfRule type="expression" dxfId="17787" priority="50837">
      <formula>IF($B10="Quoting",TRUE,FALSE)</formula>
    </cfRule>
  </conditionalFormatting>
  <conditionalFormatting sqref="D11">
    <cfRule type="expression" dxfId="17786" priority="50517">
      <formula>IF($B11="VOID",TRUE,FALSE)</formula>
    </cfRule>
    <cfRule type="expression" dxfId="17785" priority="50518">
      <formula>IF($B11="VOID",TRUE,FALSE)</formula>
    </cfRule>
    <cfRule type="expression" dxfId="17784" priority="50519">
      <formula>IF($B11="VOID",TRUE,FALSE)</formula>
    </cfRule>
    <cfRule type="expression" dxfId="17783" priority="50520">
      <formula>IF($B11="VOID",TRUE,FALSE)</formula>
    </cfRule>
    <cfRule type="expression" dxfId="17782" priority="50521">
      <formula>IF($B11="VOID",TRUE,FALSE)</formula>
    </cfRule>
    <cfRule type="expression" dxfId="17781" priority="50522">
      <formula>IF($B11="VOID",TRUE,FALSE)</formula>
    </cfRule>
    <cfRule type="expression" dxfId="17780" priority="50523">
      <formula>IF($B11="Quoting",TRUE,FALSE)</formula>
    </cfRule>
    <cfRule type="expression" dxfId="17779" priority="50524">
      <formula>IF($B11="VOID",TRUE,FALSE)</formula>
    </cfRule>
    <cfRule type="expression" dxfId="17778" priority="50525">
      <formula>IF($B11="Quoting",TRUE,FALSE)</formula>
    </cfRule>
    <cfRule type="expression" dxfId="17777" priority="50526">
      <formula>IF($B11="LOST",TRUE,FALSE)</formula>
    </cfRule>
    <cfRule type="expression" dxfId="17776" priority="50527">
      <formula>IF($B11="Larry",TRUE,FALSE)</formula>
    </cfRule>
    <cfRule type="expression" dxfId="17775" priority="50528">
      <formula>IF($B11="Cathy",TRUE,FALSE)</formula>
    </cfRule>
    <cfRule type="expression" dxfId="17774" priority="50529">
      <formula>IF($B11="ISSUE",TRUE,FALSE)</formula>
    </cfRule>
    <cfRule type="expression" dxfId="17773" priority="50530">
      <formula>IF($B11="Purchased",TRUE,FALSE)</formula>
    </cfRule>
    <cfRule type="expression" dxfId="17772" priority="50531">
      <formula>IF($B11="Requoted",TRUE,FALSE)</formula>
    </cfRule>
    <cfRule type="expression" dxfId="17771" priority="50532">
      <formula>IF($B11="Quote Sent",TRUE,FALSE)</formula>
    </cfRule>
    <cfRule type="expression" dxfId="17770" priority="50533">
      <formula>IF($B11="Max",TRUE,FALSE)</formula>
    </cfRule>
    <cfRule type="expression" dxfId="17769" priority="50534">
      <formula>IF($B11="Quoting",TRUE,FALSE)</formula>
    </cfRule>
  </conditionalFormatting>
  <conditionalFormatting sqref="D12:D15">
    <cfRule type="expression" dxfId="17768" priority="50374">
      <formula>IF($B12="Quoting",TRUE,FALSE)</formula>
    </cfRule>
  </conditionalFormatting>
  <conditionalFormatting sqref="D13">
    <cfRule type="expression" dxfId="17767" priority="50353">
      <formula>IF($B13="VOID",TRUE,FALSE)</formula>
    </cfRule>
    <cfRule type="expression" dxfId="17766" priority="50354">
      <formula>IF($B13="Quoting",TRUE,FALSE)</formula>
    </cfRule>
  </conditionalFormatting>
  <conditionalFormatting sqref="D14">
    <cfRule type="expression" dxfId="17765" priority="49977">
      <formula>IF($B14="VOID",TRUE,FALSE)</formula>
    </cfRule>
    <cfRule type="expression" dxfId="17764" priority="49978">
      <formula>IF($B14="VOID",TRUE,FALSE)</formula>
    </cfRule>
    <cfRule type="expression" dxfId="17763" priority="50351">
      <formula>IF($B14="VOID",TRUE,FALSE)</formula>
    </cfRule>
    <cfRule type="expression" dxfId="17762" priority="50352">
      <formula>IF($B14="Quoting",TRUE,FALSE)</formula>
    </cfRule>
  </conditionalFormatting>
  <conditionalFormatting sqref="D15">
    <cfRule type="expression" dxfId="17761" priority="50347">
      <formula>IF($B15="VOID",TRUE,FALSE)</formula>
    </cfRule>
    <cfRule type="expression" dxfId="17760" priority="50348">
      <formula>IF($B15="Quoting",TRUE,FALSE)</formula>
    </cfRule>
    <cfRule type="expression" dxfId="17759" priority="50349">
      <formula>IF($B15="VOID",TRUE,FALSE)</formula>
    </cfRule>
    <cfRule type="expression" dxfId="17758" priority="50350">
      <formula>IF($B15="Quoting",TRUE,FALSE)</formula>
    </cfRule>
  </conditionalFormatting>
  <conditionalFormatting sqref="D18">
    <cfRule type="expression" dxfId="17757" priority="49138">
      <formula>IF($B18="Larry",TRUE,FALSE)</formula>
    </cfRule>
    <cfRule type="expression" dxfId="17756" priority="49139">
      <formula>IF($B18="VOID",TRUE,FALSE)</formula>
    </cfRule>
    <cfRule type="expression" dxfId="17755" priority="49513">
      <formula>IF($B18="Larry",TRUE,FALSE)</formula>
    </cfRule>
    <cfRule type="expression" dxfId="17754" priority="49514">
      <formula>IF($B18="VOID",TRUE,FALSE)</formula>
    </cfRule>
  </conditionalFormatting>
  <conditionalFormatting sqref="D18:D19">
    <cfRule type="expression" dxfId="17753" priority="49140">
      <formula>IF($B18="Larry",TRUE,FALSE)</formula>
    </cfRule>
    <cfRule type="expression" dxfId="17752" priority="49141">
      <formula>IF($B18="VOID",TRUE,FALSE)</formula>
    </cfRule>
    <cfRule type="expression" dxfId="17751" priority="49515">
      <formula>IF($B18="Larry",TRUE,FALSE)</formula>
    </cfRule>
    <cfRule type="expression" dxfId="17750" priority="49516">
      <formula>IF($B18="VOID",TRUE,FALSE)</formula>
    </cfRule>
  </conditionalFormatting>
  <conditionalFormatting sqref="D19">
    <cfRule type="expression" dxfId="17749" priority="49136">
      <formula>IF($B19="Larry",TRUE,FALSE)</formula>
    </cfRule>
    <cfRule type="expression" dxfId="17748" priority="49137">
      <formula>IF($B19="VOID",TRUE,FALSE)</formula>
    </cfRule>
    <cfRule type="expression" dxfId="17747" priority="49511">
      <formula>IF($B19="Larry",TRUE,FALSE)</formula>
    </cfRule>
    <cfRule type="expression" dxfId="17746" priority="49512">
      <formula>IF($B19="VOID",TRUE,FALSE)</formula>
    </cfRule>
  </conditionalFormatting>
  <conditionalFormatting sqref="D20">
    <cfRule type="expression" dxfId="17745" priority="49510">
      <formula>IF($B20="Custom Quote",TRUE,FALSE)</formula>
    </cfRule>
  </conditionalFormatting>
  <conditionalFormatting sqref="D24">
    <cfRule type="expression" dxfId="17744" priority="49132">
      <formula>IF($B24="Quoting",TRUE,FALSE)</formula>
    </cfRule>
    <cfRule type="expression" dxfId="17743" priority="49133">
      <formula>IF($B24="Quoting",TRUE,FALSE)</formula>
    </cfRule>
    <cfRule type="expression" dxfId="17742" priority="49134">
      <formula>IF($B24="Quoting",TRUE,FALSE)</formula>
    </cfRule>
    <cfRule type="expression" dxfId="17741" priority="49135">
      <formula>IF($B24="Quoting",TRUE,FALSE)</formula>
    </cfRule>
  </conditionalFormatting>
  <conditionalFormatting sqref="D26">
    <cfRule type="expression" dxfId="17740" priority="49034">
      <formula>IF($B26="Larry",TRUE,FALSE)</formula>
    </cfRule>
    <cfRule type="expression" dxfId="17739" priority="49035">
      <formula>IF($B26="VOID",TRUE,FALSE)</formula>
    </cfRule>
    <cfRule type="expression" dxfId="17738" priority="49036">
      <formula>IF($B26="Larry",TRUE,FALSE)</formula>
    </cfRule>
    <cfRule type="expression" dxfId="17737" priority="49037">
      <formula>IF($B26="VOID",TRUE,FALSE)</formula>
    </cfRule>
  </conditionalFormatting>
  <conditionalFormatting sqref="D27">
    <cfRule type="expression" dxfId="17736" priority="44667">
      <formula>IF($B27="VOID",TRUE,FALSE)</formula>
    </cfRule>
    <cfRule type="expression" dxfId="17735" priority="44668">
      <formula>IF($B27="Larry",TRUE,FALSE)</formula>
    </cfRule>
    <cfRule type="expression" dxfId="17734" priority="44669">
      <formula>IF($B27="VOID",TRUE,FALSE)</formula>
    </cfRule>
    <cfRule type="expression" dxfId="17733" priority="44670">
      <formula>IF($B27="VOID",TRUE,FALSE)</formula>
    </cfRule>
    <cfRule type="expression" dxfId="17732" priority="44671">
      <formula>IF($B27="VOID",TRUE,FALSE)</formula>
    </cfRule>
    <cfRule type="expression" dxfId="17731" priority="44672">
      <formula>IF($B27="VOID",TRUE,FALSE)</formula>
    </cfRule>
    <cfRule type="expression" dxfId="17730" priority="44673">
      <formula>IF($B27="Quoting",TRUE,FALSE)</formula>
    </cfRule>
    <cfRule type="expression" dxfId="17729" priority="44674">
      <formula>IF($B27="VOID",TRUE,FALSE)</formula>
    </cfRule>
    <cfRule type="expression" dxfId="17728" priority="44675">
      <formula>IF($B27="Quoting",TRUE,FALSE)</formula>
    </cfRule>
    <cfRule type="expression" dxfId="17727" priority="44676">
      <formula>IF($B27="VOID",TRUE,FALSE)</formula>
    </cfRule>
    <cfRule type="expression" dxfId="17726" priority="44677">
      <formula>IF($B27="Quoting",TRUE,FALSE)</formula>
    </cfRule>
    <cfRule type="expression" dxfId="17725" priority="44678">
      <formula>IF($B27="Quoting",TRUE,FALSE)</formula>
    </cfRule>
    <cfRule type="expression" dxfId="17724" priority="44679">
      <formula>IF($B27="Larry",TRUE,FALSE)</formula>
    </cfRule>
  </conditionalFormatting>
  <conditionalFormatting sqref="D29">
    <cfRule type="expression" dxfId="17723" priority="26731">
      <formula>IF($B29="Quoting",TRUE,FALSE)</formula>
    </cfRule>
    <cfRule type="expression" dxfId="17722" priority="26732">
      <formula>IF($B29="Larry",TRUE,FALSE)</formula>
    </cfRule>
    <cfRule type="expression" dxfId="17721" priority="26733">
      <formula>IF($B29="VOID",TRUE,FALSE)</formula>
    </cfRule>
    <cfRule type="expression" dxfId="17720" priority="26734">
      <formula>IF($B29="Larry",TRUE,FALSE)</formula>
    </cfRule>
    <cfRule type="expression" dxfId="17719" priority="26735">
      <formula>IF($B29="VOID",TRUE,FALSE)</formula>
    </cfRule>
    <cfRule type="expression" dxfId="17718" priority="26736">
      <formula>IF($B29="VOID",TRUE,FALSE)</formula>
    </cfRule>
    <cfRule type="expression" dxfId="17717" priority="26737">
      <formula>IF($B29="Larry",TRUE,FALSE)</formula>
    </cfRule>
    <cfRule type="expression" dxfId="17716" priority="26738">
      <formula>IF($B29="Larry",TRUE,FALSE)</formula>
    </cfRule>
    <cfRule type="expression" dxfId="17715" priority="26739">
      <formula>IF($B29="VOID",TRUE,FALSE)</formula>
    </cfRule>
    <cfRule type="expression" dxfId="17714" priority="26740">
      <formula>IF($B29="Larry",TRUE,FALSE)</formula>
    </cfRule>
    <cfRule type="expression" dxfId="17713" priority="26741">
      <formula>IF($B29="VOID",TRUE,FALSE)</formula>
    </cfRule>
    <cfRule type="expression" dxfId="17712" priority="26742">
      <formula>IF($B29="Quoting",TRUE,FALSE)</formula>
    </cfRule>
    <cfRule type="expression" dxfId="17711" priority="26743">
      <formula>IF($B29="Quoting",TRUE,FALSE)</formula>
    </cfRule>
    <cfRule type="expression" dxfId="17710" priority="26744">
      <formula>IF($B29="VOID",TRUE,FALSE)</formula>
    </cfRule>
    <cfRule type="expression" dxfId="17709" priority="26745">
      <formula>IF($B29="VOID",TRUE,FALSE)</formula>
    </cfRule>
    <cfRule type="expression" dxfId="17708" priority="26746">
      <formula>IF($B29="Larry",TRUE,FALSE)</formula>
    </cfRule>
    <cfRule type="expression" dxfId="17707" priority="26747">
      <formula>IF($B29="Larry",TRUE,FALSE)</formula>
    </cfRule>
    <cfRule type="expression" dxfId="17706" priority="26748">
      <formula>IF($B29="Quoting",TRUE,FALSE)</formula>
    </cfRule>
    <cfRule type="expression" dxfId="17705" priority="26749">
      <formula>IF($B29="Quoting",TRUE,FALSE)</formula>
    </cfRule>
    <cfRule type="expression" dxfId="17704" priority="26750">
      <formula>IF($B29="Quoting",TRUE,FALSE)</formula>
    </cfRule>
    <cfRule type="expression" dxfId="17703" priority="26751">
      <formula>IF($B29="Quoting",TRUE,FALSE)</formula>
    </cfRule>
    <cfRule type="expression" dxfId="17702" priority="26752">
      <formula>IF($B29="Quoting",TRUE,FALSE)</formula>
    </cfRule>
    <cfRule type="expression" dxfId="17701" priority="26753">
      <formula>IF($B29="Quoting",TRUE,FALSE)</formula>
    </cfRule>
    <cfRule type="expression" dxfId="17700" priority="26754">
      <formula>IF($B29="Quoting",TRUE,FALSE)</formula>
    </cfRule>
    <cfRule type="expression" dxfId="17699" priority="26755">
      <formula>IF($B29="Quoting",TRUE,FALSE)</formula>
    </cfRule>
    <cfRule type="expression" dxfId="17698" priority="26756">
      <formula>IF($B29="Quoting",TRUE,FALSE)</formula>
    </cfRule>
    <cfRule type="expression" dxfId="17697" priority="26757">
      <formula>IF($B29="Quoting",TRUE,FALSE)</formula>
    </cfRule>
    <cfRule type="expression" dxfId="17696" priority="26758">
      <formula>IF($B29="Quoting",TRUE,FALSE)</formula>
    </cfRule>
    <cfRule type="expression" dxfId="17695" priority="26759">
      <formula>IF($B29="Quoting",TRUE,FALSE)</formula>
    </cfRule>
    <cfRule type="expression" dxfId="17694" priority="26760">
      <formula>IF($B29="Quoting",TRUE,FALSE)</formula>
    </cfRule>
    <cfRule type="expression" dxfId="17693" priority="26761">
      <formula>IF($B29="Quoting",TRUE,FALSE)</formula>
    </cfRule>
    <cfRule type="expression" dxfId="17692" priority="26762">
      <formula>IF($B29="Quoting",TRUE,FALSE)</formula>
    </cfRule>
    <cfRule type="expression" dxfId="17691" priority="26763">
      <formula>IF($B29="Quoting",TRUE,FALSE)</formula>
    </cfRule>
    <cfRule type="expression" dxfId="17690" priority="26764">
      <formula>IF($B29="Quoting",TRUE,FALSE)</formula>
    </cfRule>
    <cfRule type="expression" dxfId="17689" priority="26765">
      <formula>IF($B29="Quoting",TRUE,FALSE)</formula>
    </cfRule>
    <cfRule type="expression" dxfId="17688" priority="26766">
      <formula>IF($B29="Quoting",TRUE,FALSE)</formula>
    </cfRule>
    <cfRule type="expression" dxfId="17687" priority="26767">
      <formula>IF($B29="Quoting",TRUE,FALSE)</formula>
    </cfRule>
    <cfRule type="expression" dxfId="17686" priority="26768">
      <formula>IF($B29="VOID",TRUE,FALSE)</formula>
    </cfRule>
    <cfRule type="expression" dxfId="17685" priority="26769">
      <formula>IF($B29="Quoting",TRUE,FALSE)</formula>
    </cfRule>
    <cfRule type="expression" dxfId="17684" priority="26770">
      <formula>IF($B29="Quoting",TRUE,FALSE)</formula>
    </cfRule>
    <cfRule type="expression" dxfId="17683" priority="26771">
      <formula>IF($B29="Quoting",TRUE,FALSE)</formula>
    </cfRule>
    <cfRule type="expression" dxfId="17682" priority="26772">
      <formula>IF($B29="Quoting",TRUE,FALSE)</formula>
    </cfRule>
    <cfRule type="expression" dxfId="17681" priority="26773">
      <formula>IF($B29="Quoting",TRUE,FALSE)</formula>
    </cfRule>
    <cfRule type="expression" dxfId="17680" priority="26774">
      <formula>IF($B29="Quoting",TRUE,FALSE)</formula>
    </cfRule>
    <cfRule type="expression" dxfId="17679" priority="26775">
      <formula>IF($B29="Quoting",TRUE,FALSE)</formula>
    </cfRule>
    <cfRule type="expression" dxfId="17678" priority="26776">
      <formula>IF($B29="Quoting",TRUE,FALSE)</formula>
    </cfRule>
    <cfRule type="expression" dxfId="17677" priority="26777">
      <formula>IF($B29="Quoting",TRUE,FALSE)</formula>
    </cfRule>
    <cfRule type="expression" dxfId="17676" priority="26778">
      <formula>IF($B29="Quoting",TRUE,FALSE)</formula>
    </cfRule>
    <cfRule type="expression" dxfId="17675" priority="26779">
      <formula>IF($B29="Quoting",TRUE,FALSE)</formula>
    </cfRule>
    <cfRule type="expression" dxfId="17674" priority="26780">
      <formula>IF($B29="Quoting",TRUE,FALSE)</formula>
    </cfRule>
    <cfRule type="expression" dxfId="17673" priority="26781">
      <formula>IF($B29="Larry",TRUE,FALSE)</formula>
    </cfRule>
    <cfRule type="expression" dxfId="17672" priority="26782">
      <formula>IF($B29="VOID",TRUE,FALSE)</formula>
    </cfRule>
    <cfRule type="expression" dxfId="17671" priority="26783">
      <formula>IF($B29="VOID",TRUE,FALSE)</formula>
    </cfRule>
    <cfRule type="expression" dxfId="17670" priority="26784">
      <formula>IF($B29="VOID",TRUE,FALSE)</formula>
    </cfRule>
    <cfRule type="expression" dxfId="17669" priority="26785">
      <formula>IF($B29="VOID",TRUE,FALSE)</formula>
    </cfRule>
    <cfRule type="expression" dxfId="17668" priority="26786">
      <formula>IF($B29="VOID",TRUE,FALSE)</formula>
    </cfRule>
    <cfRule type="expression" dxfId="17667" priority="26787">
      <formula>IF($B29="VOID",TRUE,FALSE)</formula>
    </cfRule>
    <cfRule type="expression" dxfId="17666" priority="26788">
      <formula>IF($B29="VOID",TRUE,FALSE)</formula>
    </cfRule>
    <cfRule type="expression" dxfId="17665" priority="26789">
      <formula>IF($B29="VOID",TRUE,FALSE)</formula>
    </cfRule>
    <cfRule type="expression" dxfId="17664" priority="26790">
      <formula>IF($B29="VOID",TRUE,FALSE)</formula>
    </cfRule>
    <cfRule type="expression" dxfId="17663" priority="26791">
      <formula>IF($B29="VOID",TRUE,FALSE)</formula>
    </cfRule>
    <cfRule type="expression" dxfId="17662" priority="26792">
      <formula>IF($B29="VOID",TRUE,FALSE)</formula>
    </cfRule>
    <cfRule type="expression" dxfId="17661" priority="26793">
      <formula>IF($B29="VOID",TRUE,FALSE)</formula>
    </cfRule>
    <cfRule type="expression" dxfId="17660" priority="26794">
      <formula>IF($B29="VOID",TRUE,FALSE)</formula>
    </cfRule>
    <cfRule type="expression" dxfId="17659" priority="26795">
      <formula>IF($B29="VOID",TRUE,FALSE)</formula>
    </cfRule>
    <cfRule type="expression" dxfId="17658" priority="26796">
      <formula>IF($B29="VOID",TRUE,FALSE)</formula>
    </cfRule>
    <cfRule type="expression" dxfId="17657" priority="26797">
      <formula>IF($B29="VOID",TRUE,FALSE)</formula>
    </cfRule>
    <cfRule type="expression" dxfId="17656" priority="26798">
      <formula>IF($B29="VOID",TRUE,FALSE)</formula>
    </cfRule>
    <cfRule type="expression" dxfId="17655" priority="26799">
      <formula>IF($B29="VOID",TRUE,FALSE)</formula>
    </cfRule>
    <cfRule type="expression" dxfId="17654" priority="26800">
      <formula>IF($B29="VOID",TRUE,FALSE)</formula>
    </cfRule>
    <cfRule type="expression" dxfId="17653" priority="26801">
      <formula>IF($B29="VOID",TRUE,FALSE)</formula>
    </cfRule>
    <cfRule type="expression" dxfId="17652" priority="26802">
      <formula>IF($B29="VOID",TRUE,FALSE)</formula>
    </cfRule>
    <cfRule type="expression" dxfId="17651" priority="26803">
      <formula>IF($B29="VOID",TRUE,FALSE)</formula>
    </cfRule>
    <cfRule type="expression" dxfId="17650" priority="26804">
      <formula>IF($B29="VOID",TRUE,FALSE)</formula>
    </cfRule>
    <cfRule type="expression" dxfId="17649" priority="26805">
      <formula>IF($B29="VOID",TRUE,FALSE)</formula>
    </cfRule>
    <cfRule type="expression" dxfId="17648" priority="26806">
      <formula>IF($B29="VOID",TRUE,FALSE)</formula>
    </cfRule>
    <cfRule type="expression" dxfId="17647" priority="26807">
      <formula>IF($B29="VOID",TRUE,FALSE)</formula>
    </cfRule>
    <cfRule type="expression" dxfId="17646" priority="26808">
      <formula>IF($B29="VOID",TRUE,FALSE)</formula>
    </cfRule>
    <cfRule type="expression" dxfId="17645" priority="26809">
      <formula>IF($B29="VOID",TRUE,FALSE)</formula>
    </cfRule>
    <cfRule type="expression" dxfId="17644" priority="26810">
      <formula>IF($B29="VOID",TRUE,FALSE)</formula>
    </cfRule>
    <cfRule type="expression" dxfId="17643" priority="26811">
      <formula>IF($B29="VOID",TRUE,FALSE)</formula>
    </cfRule>
    <cfRule type="expression" dxfId="17642" priority="26812">
      <formula>IF($B29="VOID",TRUE,FALSE)</formula>
    </cfRule>
    <cfRule type="expression" dxfId="17641" priority="26813">
      <formula>IF($B29="Quoting",TRUE,FALSE)</formula>
    </cfRule>
    <cfRule type="expression" dxfId="17640" priority="26814">
      <formula>IF($B29="Quoting",TRUE,FALSE)</formula>
    </cfRule>
    <cfRule type="expression" dxfId="17639" priority="26815">
      <formula>IF($B29="Quoting",TRUE,FALSE)</formula>
    </cfRule>
    <cfRule type="expression" dxfId="17638" priority="26816">
      <formula>IF($B29="VOID",TRUE,FALSE)</formula>
    </cfRule>
    <cfRule type="expression" dxfId="17637" priority="26817">
      <formula>IF($B29="VOID",TRUE,FALSE)</formula>
    </cfRule>
    <cfRule type="expression" dxfId="17636" priority="26818">
      <formula>IF($B29="Quoting",TRUE,FALSE)</formula>
    </cfRule>
    <cfRule type="expression" dxfId="17635" priority="26819">
      <formula>IF($B29="VOID",TRUE,FALSE)</formula>
    </cfRule>
    <cfRule type="expression" dxfId="17634" priority="26820">
      <formula>IF($B29="VOID",TRUE,FALSE)</formula>
    </cfRule>
    <cfRule type="expression" dxfId="17633" priority="26821">
      <formula>IF($B29="VOID",TRUE,FALSE)</formula>
    </cfRule>
    <cfRule type="expression" dxfId="17632" priority="26822">
      <formula>IF($B29="Quoting",TRUE,FALSE)</formula>
    </cfRule>
    <cfRule type="expression" dxfId="17631" priority="26823">
      <formula>IF($B29="Quoting",TRUE,FALSE)</formula>
    </cfRule>
    <cfRule type="expression" dxfId="17630" priority="26824">
      <formula>IF($B29="Quoting",TRUE,FALSE)</formula>
    </cfRule>
    <cfRule type="expression" dxfId="17629" priority="26825">
      <formula>IF($B29="Quoting",TRUE,FALSE)</formula>
    </cfRule>
    <cfRule type="expression" dxfId="17628" priority="26826">
      <formula>IF($B29="Quoting",TRUE,FALSE)</formula>
    </cfRule>
    <cfRule type="expression" dxfId="17627" priority="26827">
      <formula>IF($B29="VOID",TRUE,FALSE)</formula>
    </cfRule>
    <cfRule type="expression" dxfId="17626" priority="26828">
      <formula>IF($B29="VOID",TRUE,FALSE)</formula>
    </cfRule>
    <cfRule type="expression" dxfId="17625" priority="26829">
      <formula>IF($B29="Quoting",TRUE,FALSE)</formula>
    </cfRule>
    <cfRule type="expression" dxfId="17624" priority="26830">
      <formula>IF($B29="Quoting",TRUE,FALSE)</formula>
    </cfRule>
    <cfRule type="expression" dxfId="17623" priority="26831">
      <formula>IF($B29="VOID",TRUE,FALSE)</formula>
    </cfRule>
    <cfRule type="expression" dxfId="17622" priority="26832">
      <formula>IF($B29="Quoting",TRUE,FALSE)</formula>
    </cfRule>
    <cfRule type="expression" dxfId="17621" priority="26833">
      <formula>IF($B29="VOID",TRUE,FALSE)</formula>
    </cfRule>
    <cfRule type="expression" dxfId="17620" priority="26834">
      <formula>IF($B29="Quoting",TRUE,FALSE)</formula>
    </cfRule>
    <cfRule type="expression" dxfId="17619" priority="26835">
      <formula>IF($B29="Quoting",TRUE,FALSE)</formula>
    </cfRule>
    <cfRule type="expression" dxfId="17618" priority="26836">
      <formula>IF($B29="Quoting",TRUE,FALSE)</formula>
    </cfRule>
    <cfRule type="expression" dxfId="17617" priority="26837">
      <formula>IF($B29="VOID",TRUE,FALSE)</formula>
    </cfRule>
    <cfRule type="expression" dxfId="17616" priority="26838">
      <formula>IF($B29="VOID",TRUE,FALSE)</formula>
    </cfRule>
    <cfRule type="expression" dxfId="17615" priority="26839">
      <formula>IF($B29="VOID",TRUE,FALSE)</formula>
    </cfRule>
    <cfRule type="expression" dxfId="17614" priority="26840">
      <formula>IF($B29="VOID",TRUE,FALSE)</formula>
    </cfRule>
    <cfRule type="expression" dxfId="17613" priority="26841">
      <formula>IF($B29="Quoting",TRUE,FALSE)</formula>
    </cfRule>
    <cfRule type="expression" dxfId="17612" priority="26842">
      <formula>IF($B29="Quoting",TRUE,FALSE)</formula>
    </cfRule>
    <cfRule type="expression" dxfId="17611" priority="26843">
      <formula>IF($B29="Quoting",TRUE,FALSE)</formula>
    </cfRule>
    <cfRule type="expression" dxfId="17610" priority="26844">
      <formula>IF($B29="Quoting",TRUE,FALSE)</formula>
    </cfRule>
    <cfRule type="expression" dxfId="17609" priority="26845">
      <formula>IF($B29="Quoting",TRUE,FALSE)</formula>
    </cfRule>
    <cfRule type="expression" dxfId="17608" priority="26846">
      <formula>IF($B29="VOID",TRUE,FALSE)</formula>
    </cfRule>
    <cfRule type="expression" dxfId="17607" priority="26847">
      <formula>IF($B29="VOID",TRUE,FALSE)</formula>
    </cfRule>
    <cfRule type="expression" dxfId="17606" priority="26848">
      <formula>IF($B29="Quoting",TRUE,FALSE)</formula>
    </cfRule>
    <cfRule type="expression" dxfId="17605" priority="26849">
      <formula>IF($B29="Quoting",TRUE,FALSE)</formula>
    </cfRule>
    <cfRule type="expression" dxfId="17604" priority="26850">
      <formula>IF($B29="Quoting",TRUE,FALSE)</formula>
    </cfRule>
    <cfRule type="expression" dxfId="17603" priority="26851">
      <formula>IF($B29="Quoting",TRUE,FALSE)</formula>
    </cfRule>
    <cfRule type="expression" dxfId="17602" priority="26852">
      <formula>IF($B29="Quoting",TRUE,FALSE)</formula>
    </cfRule>
    <cfRule type="expression" dxfId="17601" priority="26853">
      <formula>IF($B29="VOID",TRUE,FALSE)</formula>
    </cfRule>
    <cfRule type="expression" dxfId="17600" priority="26854">
      <formula>IF($B29="VOID",TRUE,FALSE)</formula>
    </cfRule>
    <cfRule type="expression" dxfId="17599" priority="26855">
      <formula>IF($B29="VOID",TRUE,FALSE)</formula>
    </cfRule>
    <cfRule type="expression" dxfId="17598" priority="26856">
      <formula>IF($B29="VOID",TRUE,FALSE)</formula>
    </cfRule>
    <cfRule type="expression" dxfId="17597" priority="26857">
      <formula>IF($B29="VOID",TRUE,FALSE)</formula>
    </cfRule>
    <cfRule type="expression" dxfId="17596" priority="26858">
      <formula>IF($B29="VOID",TRUE,FALSE)</formula>
    </cfRule>
    <cfRule type="expression" dxfId="17595" priority="26859">
      <formula>IF($B29="VOID",TRUE,FALSE)</formula>
    </cfRule>
    <cfRule type="expression" dxfId="17594" priority="26860">
      <formula>IF($B29="VOID",TRUE,FALSE)</formula>
    </cfRule>
    <cfRule type="expression" dxfId="17593" priority="26861">
      <formula>IF($B29="VOID",TRUE,FALSE)</formula>
    </cfRule>
    <cfRule type="expression" dxfId="17592" priority="26862">
      <formula>IF($B29="VOID",TRUE,FALSE)</formula>
    </cfRule>
    <cfRule type="expression" dxfId="17591" priority="26863">
      <formula>IF($B29="VOID",TRUE,FALSE)</formula>
    </cfRule>
    <cfRule type="expression" dxfId="17590" priority="26864">
      <formula>IF($B29="VOID",TRUE,FALSE)</formula>
    </cfRule>
    <cfRule type="expression" dxfId="17589" priority="26865">
      <formula>IF($B29="VOID",TRUE,FALSE)</formula>
    </cfRule>
    <cfRule type="expression" dxfId="17588" priority="26866">
      <formula>IF($B29="VOID",TRUE,FALSE)</formula>
    </cfRule>
    <cfRule type="expression" dxfId="17587" priority="26867">
      <formula>IF($B29="VOID",TRUE,FALSE)</formula>
    </cfRule>
    <cfRule type="expression" dxfId="17586" priority="26868">
      <formula>IF($B29="VOID",TRUE,FALSE)</formula>
    </cfRule>
    <cfRule type="expression" dxfId="17585" priority="26869">
      <formula>IF($B29="VOID",TRUE,FALSE)</formula>
    </cfRule>
    <cfRule type="expression" dxfId="17584" priority="26870">
      <formula>IF($B29="VOID",TRUE,FALSE)</formula>
    </cfRule>
    <cfRule type="expression" dxfId="17583" priority="26871">
      <formula>IF($B29="VOID",TRUE,FALSE)</formula>
    </cfRule>
    <cfRule type="expression" dxfId="17582" priority="26872">
      <formula>IF($B29="VOID",TRUE,FALSE)</formula>
    </cfRule>
    <cfRule type="expression" dxfId="17581" priority="26873">
      <formula>IF($B29="VOID",TRUE,FALSE)</formula>
    </cfRule>
    <cfRule type="expression" dxfId="17580" priority="26874">
      <formula>IF($B29="VOID",TRUE,FALSE)</formula>
    </cfRule>
    <cfRule type="expression" dxfId="17579" priority="26875">
      <formula>IF($B29="VOID",TRUE,FALSE)</formula>
    </cfRule>
    <cfRule type="expression" dxfId="17578" priority="26876">
      <formula>IF($B29="VOID",TRUE,FALSE)</formula>
    </cfRule>
    <cfRule type="expression" dxfId="17577" priority="26877">
      <formula>IF($B29="VOID",TRUE,FALSE)</formula>
    </cfRule>
    <cfRule type="expression" dxfId="17576" priority="26878">
      <formula>IF($B29="VOID",TRUE,FALSE)</formula>
    </cfRule>
    <cfRule type="expression" dxfId="17575" priority="26879">
      <formula>IF($B29="VOID",TRUE,FALSE)</formula>
    </cfRule>
    <cfRule type="expression" dxfId="17574" priority="26880">
      <formula>IF($B29="VOID",TRUE,FALSE)</formula>
    </cfRule>
    <cfRule type="expression" dxfId="17573" priority="26881">
      <formula>IF($B29="VOID",TRUE,FALSE)</formula>
    </cfRule>
    <cfRule type="expression" dxfId="17572" priority="26882">
      <formula>IF($B29="VOID",TRUE,FALSE)</formula>
    </cfRule>
    <cfRule type="expression" dxfId="17571" priority="26883">
      <formula>IF($B29="Quoting",TRUE,FALSE)</formula>
    </cfRule>
    <cfRule type="expression" dxfId="17570" priority="26884">
      <formula>IF($B29="Quoting",TRUE,FALSE)</formula>
    </cfRule>
    <cfRule type="expression" dxfId="17569" priority="26885">
      <formula>IF($B29="Quoting",TRUE,FALSE)</formula>
    </cfRule>
    <cfRule type="expression" dxfId="17568" priority="26886">
      <formula>IF($B29="VOID",TRUE,FALSE)</formula>
    </cfRule>
    <cfRule type="expression" dxfId="17567" priority="26887">
      <formula>IF($B29="VOID",TRUE,FALSE)</formula>
    </cfRule>
    <cfRule type="expression" dxfId="17566" priority="26888">
      <formula>IF($B29="Quoting",TRUE,FALSE)</formula>
    </cfRule>
    <cfRule type="expression" dxfId="17565" priority="26889">
      <formula>IF($B29="VOID",TRUE,FALSE)</formula>
    </cfRule>
    <cfRule type="expression" dxfId="17564" priority="26890">
      <formula>IF($B29="VOID",TRUE,FALSE)</formula>
    </cfRule>
    <cfRule type="expression" dxfId="17563" priority="26891">
      <formula>IF($B29="VOID",TRUE,FALSE)</formula>
    </cfRule>
    <cfRule type="expression" dxfId="17562" priority="26892">
      <formula>IF($B29="Quoting",TRUE,FALSE)</formula>
    </cfRule>
    <cfRule type="expression" dxfId="17561" priority="26893">
      <formula>IF($B29="Quoting",TRUE,FALSE)</formula>
    </cfRule>
    <cfRule type="expression" dxfId="17560" priority="26894">
      <formula>IF($B29="Quoting",TRUE,FALSE)</formula>
    </cfRule>
    <cfRule type="expression" dxfId="17559" priority="26895">
      <formula>IF($B29="Quoting",TRUE,FALSE)</formula>
    </cfRule>
    <cfRule type="expression" dxfId="17558" priority="26896">
      <formula>IF($B29="Quoting",TRUE,FALSE)</formula>
    </cfRule>
    <cfRule type="expression" dxfId="17557" priority="26897">
      <formula>IF($B29="VOID",TRUE,FALSE)</formula>
    </cfRule>
    <cfRule type="expression" dxfId="17556" priority="26898">
      <formula>IF($B29="VOID",TRUE,FALSE)</formula>
    </cfRule>
    <cfRule type="expression" dxfId="17555" priority="26899">
      <formula>IF($B29="Quoting",TRUE,FALSE)</formula>
    </cfRule>
    <cfRule type="expression" dxfId="17554" priority="26900">
      <formula>IF($B29="Quoting",TRUE,FALSE)</formula>
    </cfRule>
    <cfRule type="expression" dxfId="17553" priority="26901">
      <formula>IF($B29="VOID",TRUE,FALSE)</formula>
    </cfRule>
    <cfRule type="expression" dxfId="17552" priority="26902">
      <formula>IF($B29="Quoting",TRUE,FALSE)</formula>
    </cfRule>
    <cfRule type="expression" dxfId="17551" priority="26903">
      <formula>IF($B29="VOID",TRUE,FALSE)</formula>
    </cfRule>
    <cfRule type="expression" dxfId="17550" priority="26904">
      <formula>IF($B29="Quoting",TRUE,FALSE)</formula>
    </cfRule>
    <cfRule type="expression" dxfId="17549" priority="26905">
      <formula>IF($B29="Quoting",TRUE,FALSE)</formula>
    </cfRule>
    <cfRule type="expression" dxfId="17548" priority="26906">
      <formula>IF($B29="Quoting",TRUE,FALSE)</formula>
    </cfRule>
    <cfRule type="expression" dxfId="17547" priority="26907">
      <formula>IF($B29="VOID",TRUE,FALSE)</formula>
    </cfRule>
    <cfRule type="expression" dxfId="17546" priority="26908">
      <formula>IF($B29="VOID",TRUE,FALSE)</formula>
    </cfRule>
    <cfRule type="expression" dxfId="17545" priority="26909">
      <formula>IF($B29="VOID",TRUE,FALSE)</formula>
    </cfRule>
    <cfRule type="expression" dxfId="17544" priority="26910">
      <formula>IF($B29="VOID",TRUE,FALSE)</formula>
    </cfRule>
    <cfRule type="expression" dxfId="17543" priority="26911">
      <formula>IF($B29="Quoting",TRUE,FALSE)</formula>
    </cfRule>
    <cfRule type="expression" dxfId="17542" priority="26912">
      <formula>IF($B29="Quoting",TRUE,FALSE)</formula>
    </cfRule>
    <cfRule type="expression" dxfId="17541" priority="26913">
      <formula>IF($B29="Quoting",TRUE,FALSE)</formula>
    </cfRule>
    <cfRule type="expression" dxfId="17540" priority="26914">
      <formula>IF($B29="Quoting",TRUE,FALSE)</formula>
    </cfRule>
    <cfRule type="expression" dxfId="17539" priority="26915">
      <formula>IF($B29="Quoting",TRUE,FALSE)</formula>
    </cfRule>
    <cfRule type="expression" dxfId="17538" priority="26916">
      <formula>IF($B29="VOID",TRUE,FALSE)</formula>
    </cfRule>
    <cfRule type="expression" dxfId="17537" priority="26917">
      <formula>IF($B29="VOID",TRUE,FALSE)</formula>
    </cfRule>
    <cfRule type="expression" dxfId="17536" priority="26918">
      <formula>IF($B29="Quoting",TRUE,FALSE)</formula>
    </cfRule>
    <cfRule type="expression" dxfId="17535" priority="26919">
      <formula>IF($B29="Quoting",TRUE,FALSE)</formula>
    </cfRule>
    <cfRule type="expression" dxfId="17534" priority="26920">
      <formula>IF($B29="Quoting",TRUE,FALSE)</formula>
    </cfRule>
    <cfRule type="expression" dxfId="17533" priority="26921">
      <formula>IF($B29="Quoting",TRUE,FALSE)</formula>
    </cfRule>
    <cfRule type="expression" dxfId="17532" priority="26922">
      <formula>IF($B29="Quoting",TRUE,FALSE)</formula>
    </cfRule>
    <cfRule type="expression" dxfId="17531" priority="26923">
      <formula>IF($B29="VOID",TRUE,FALSE)</formula>
    </cfRule>
    <cfRule type="expression" dxfId="17530" priority="26924">
      <formula>IF($B29="VOID",TRUE,FALSE)</formula>
    </cfRule>
    <cfRule type="expression" dxfId="17529" priority="26925">
      <formula>IF($B29="VOID",TRUE,FALSE)</formula>
    </cfRule>
    <cfRule type="expression" dxfId="17528" priority="26926">
      <formula>IF($B29="VOID",TRUE,FALSE)</formula>
    </cfRule>
    <cfRule type="expression" dxfId="17527" priority="26927">
      <formula>IF($B29="VOID",TRUE,FALSE)</formula>
    </cfRule>
    <cfRule type="expression" dxfId="17526" priority="26928">
      <formula>IF($B29="VOID",TRUE,FALSE)</formula>
    </cfRule>
    <cfRule type="expression" dxfId="17525" priority="26929">
      <formula>IF($B29="VOID",TRUE,FALSE)</formula>
    </cfRule>
    <cfRule type="expression" dxfId="17524" priority="26930">
      <formula>IF($B29="VOID",TRUE,FALSE)</formula>
    </cfRule>
    <cfRule type="expression" dxfId="17523" priority="26931">
      <formula>IF($B29="VOID",TRUE,FALSE)</formula>
    </cfRule>
    <cfRule type="expression" dxfId="17522" priority="26932">
      <formula>IF($B29="Quoting",TRUE,FALSE)</formula>
    </cfRule>
    <cfRule type="expression" dxfId="17521" priority="26933">
      <formula>IF($B29="Quoting",TRUE,FALSE)</formula>
    </cfRule>
    <cfRule type="expression" dxfId="17520" priority="26934">
      <formula>IF($B29="Quoting",TRUE,FALSE)</formula>
    </cfRule>
    <cfRule type="expression" dxfId="17519" priority="26935">
      <formula>IF($B29="Larry",TRUE,FALSE)</formula>
    </cfRule>
    <cfRule type="expression" dxfId="17518" priority="26936">
      <formula>IF($B29="Quoting",TRUE,FALSE)</formula>
    </cfRule>
    <cfRule type="expression" dxfId="17517" priority="26937">
      <formula>IF($B29="Larry",TRUE,FALSE)</formula>
    </cfRule>
  </conditionalFormatting>
  <conditionalFormatting sqref="D30">
    <cfRule type="expression" dxfId="17516" priority="26582">
      <formula>IF($B30="Larry",TRUE,FALSE)</formula>
    </cfRule>
    <cfRule type="expression" dxfId="17515" priority="26583">
      <formula>IF($B30="VOID",TRUE,FALSE)</formula>
    </cfRule>
    <cfRule type="expression" dxfId="17514" priority="26584">
      <formula>IF($B30="Larry",TRUE,FALSE)</formula>
    </cfRule>
    <cfRule type="expression" dxfId="17513" priority="26585">
      <formula>IF($B30="VOID",TRUE,FALSE)</formula>
    </cfRule>
    <cfRule type="expression" dxfId="17512" priority="26586">
      <formula>IF($B30="VOID",TRUE,FALSE)</formula>
    </cfRule>
    <cfRule type="expression" dxfId="17511" priority="26587">
      <formula>IF($B30="Larry",TRUE,FALSE)</formula>
    </cfRule>
    <cfRule type="expression" dxfId="17510" priority="26588">
      <formula>IF($B30="Larry",TRUE,FALSE)</formula>
    </cfRule>
    <cfRule type="expression" dxfId="17509" priority="26589">
      <formula>IF($B30="VOID",TRUE,FALSE)</formula>
    </cfRule>
    <cfRule type="expression" dxfId="17508" priority="26590">
      <formula>IF($B30="Larry",TRUE,FALSE)</formula>
    </cfRule>
    <cfRule type="expression" dxfId="17507" priority="26591">
      <formula>IF($B30="VOID",TRUE,FALSE)</formula>
    </cfRule>
    <cfRule type="expression" dxfId="17506" priority="26592">
      <formula>IF($B30="Quoting",TRUE,FALSE)</formula>
    </cfRule>
    <cfRule type="expression" dxfId="17505" priority="26593">
      <formula>IF($B30="Larry",TRUE,FALSE)</formula>
    </cfRule>
    <cfRule type="expression" dxfId="17504" priority="26594">
      <formula>IF($B30="VOID",TRUE,FALSE)</formula>
    </cfRule>
    <cfRule type="expression" dxfId="17503" priority="26595">
      <formula>IF($B30="Larry",TRUE,FALSE)</formula>
    </cfRule>
    <cfRule type="expression" dxfId="17502" priority="26596">
      <formula>IF($B30="VOID",TRUE,FALSE)</formula>
    </cfRule>
    <cfRule type="expression" dxfId="17501" priority="26597">
      <formula>IF($B30="VOID",TRUE,FALSE)</formula>
    </cfRule>
    <cfRule type="expression" dxfId="17500" priority="26598">
      <formula>IF($B30="Larry",TRUE,FALSE)</formula>
    </cfRule>
    <cfRule type="expression" dxfId="17499" priority="26599">
      <formula>IF($B30="Larry",TRUE,FALSE)</formula>
    </cfRule>
    <cfRule type="expression" dxfId="17498" priority="26600">
      <formula>IF($B30="VOID",TRUE,FALSE)</formula>
    </cfRule>
    <cfRule type="expression" dxfId="17497" priority="26601">
      <formula>IF($B30="Larry",TRUE,FALSE)</formula>
    </cfRule>
    <cfRule type="expression" dxfId="17496" priority="26602">
      <formula>IF($B30="VOID",TRUE,FALSE)</formula>
    </cfRule>
    <cfRule type="expression" dxfId="17495" priority="26603">
      <formula>IF($B30="Quoting",TRUE,FALSE)</formula>
    </cfRule>
    <cfRule type="expression" dxfId="17494" priority="26604">
      <formula>IF($B30="Quoting",TRUE,FALSE)</formula>
    </cfRule>
    <cfRule type="expression" dxfId="17493" priority="26605">
      <formula>IF($B30="Quoting",TRUE,FALSE)</formula>
    </cfRule>
    <cfRule type="expression" dxfId="17492" priority="26606">
      <formula>IF($B30="Quoting",TRUE,FALSE)</formula>
    </cfRule>
    <cfRule type="expression" dxfId="17491" priority="26607">
      <formula>IF($B30="Quoting",TRUE,FALSE)</formula>
    </cfRule>
    <cfRule type="expression" dxfId="17490" priority="26608">
      <formula>IF($B30="Quoting",TRUE,FALSE)</formula>
    </cfRule>
    <cfRule type="expression" dxfId="17489" priority="26609">
      <formula>IF($B30="Quoting",TRUE,FALSE)</formula>
    </cfRule>
    <cfRule type="expression" dxfId="17488" priority="26610">
      <formula>IF($B30="Quoting",TRUE,FALSE)</formula>
    </cfRule>
    <cfRule type="expression" dxfId="17487" priority="26611">
      <formula>IF($B30="Quoting",TRUE,FALSE)</formula>
    </cfRule>
    <cfRule type="expression" dxfId="17486" priority="26612">
      <formula>IF($B30="Quoting",TRUE,FALSE)</formula>
    </cfRule>
    <cfRule type="expression" dxfId="17485" priority="26613">
      <formula>IF($B30="Quoting",TRUE,FALSE)</formula>
    </cfRule>
    <cfRule type="expression" dxfId="17484" priority="26614">
      <formula>IF($B30="Quoting",TRUE,FALSE)</formula>
    </cfRule>
    <cfRule type="expression" dxfId="17483" priority="26615">
      <formula>IF($B30="Quoting",TRUE,FALSE)</formula>
    </cfRule>
    <cfRule type="expression" dxfId="17482" priority="26616">
      <formula>IF($B30="Quoting",TRUE,FALSE)</formula>
    </cfRule>
    <cfRule type="expression" dxfId="17481" priority="26617">
      <formula>IF($B30="Quoting",TRUE,FALSE)</formula>
    </cfRule>
    <cfRule type="expression" dxfId="17480" priority="26618">
      <formula>IF($B30="Quoting",TRUE,FALSE)</formula>
    </cfRule>
    <cfRule type="expression" dxfId="17479" priority="26619">
      <formula>IF($B30="Quoting",TRUE,FALSE)</formula>
    </cfRule>
    <cfRule type="expression" dxfId="17478" priority="26620">
      <formula>IF($B30="Quoting",TRUE,FALSE)</formula>
    </cfRule>
    <cfRule type="expression" dxfId="17477" priority="26621">
      <formula>IF($B30="Quoting",TRUE,FALSE)</formula>
    </cfRule>
    <cfRule type="expression" dxfId="17476" priority="26622">
      <formula>IF($B30="Quoting",TRUE,FALSE)</formula>
    </cfRule>
    <cfRule type="expression" dxfId="17475" priority="26623">
      <formula>IF($B30="VOID",TRUE,FALSE)</formula>
    </cfRule>
    <cfRule type="expression" dxfId="17474" priority="26624">
      <formula>IF($B30="VOID",TRUE,FALSE)</formula>
    </cfRule>
    <cfRule type="expression" dxfId="17473" priority="26625">
      <formula>IF($B30="VOID",TRUE,FALSE)</formula>
    </cfRule>
    <cfRule type="expression" dxfId="17472" priority="26626">
      <formula>IF($B30="VOID",TRUE,FALSE)</formula>
    </cfRule>
    <cfRule type="expression" dxfId="17471" priority="26627">
      <formula>IF($B30="VOID",TRUE,FALSE)</formula>
    </cfRule>
    <cfRule type="expression" dxfId="17470" priority="26628">
      <formula>IF($B30="VOID",TRUE,FALSE)</formula>
    </cfRule>
    <cfRule type="expression" dxfId="17469" priority="26629">
      <formula>IF($B30="VOID",TRUE,FALSE)</formula>
    </cfRule>
    <cfRule type="expression" dxfId="17468" priority="26630">
      <formula>IF($B30="VOID",TRUE,FALSE)</formula>
    </cfRule>
    <cfRule type="expression" dxfId="17467" priority="26631">
      <formula>IF($B30="VOID",TRUE,FALSE)</formula>
    </cfRule>
    <cfRule type="expression" dxfId="17466" priority="26632">
      <formula>IF($B30="VOID",TRUE,FALSE)</formula>
    </cfRule>
    <cfRule type="expression" dxfId="17465" priority="26633">
      <formula>IF($B30="VOID",TRUE,FALSE)</formula>
    </cfRule>
    <cfRule type="expression" dxfId="17464" priority="26634">
      <formula>IF($B30="VOID",TRUE,FALSE)</formula>
    </cfRule>
    <cfRule type="expression" dxfId="17463" priority="26635">
      <formula>IF($B30="VOID",TRUE,FALSE)</formula>
    </cfRule>
    <cfRule type="expression" dxfId="17462" priority="26636">
      <formula>IF($B30="VOID",TRUE,FALSE)</formula>
    </cfRule>
    <cfRule type="expression" dxfId="17461" priority="26637">
      <formula>IF($B30="VOID",TRUE,FALSE)</formula>
    </cfRule>
    <cfRule type="expression" dxfId="17460" priority="26638">
      <formula>IF($B30="VOID",TRUE,FALSE)</formula>
    </cfRule>
    <cfRule type="expression" dxfId="17459" priority="26639">
      <formula>IF($B30="VOID",TRUE,FALSE)</formula>
    </cfRule>
    <cfRule type="expression" dxfId="17458" priority="26640">
      <formula>IF($B30="VOID",TRUE,FALSE)</formula>
    </cfRule>
    <cfRule type="expression" dxfId="17457" priority="26641">
      <formula>IF($B30="Quoting",TRUE,FALSE)</formula>
    </cfRule>
    <cfRule type="expression" dxfId="17456" priority="26642">
      <formula>IF($B30="Quoting",TRUE,FALSE)</formula>
    </cfRule>
    <cfRule type="expression" dxfId="17455" priority="26643">
      <formula>IF($B30="Quoting",TRUE,FALSE)</formula>
    </cfRule>
    <cfRule type="expression" dxfId="17454" priority="26644">
      <formula>IF($B30="Quoting",TRUE,FALSE)</formula>
    </cfRule>
    <cfRule type="expression" dxfId="17453" priority="26645">
      <formula>IF($B30="Quoting",TRUE,FALSE)</formula>
    </cfRule>
    <cfRule type="expression" dxfId="17452" priority="26646">
      <formula>IF($B30="Quoting",TRUE,FALSE)</formula>
    </cfRule>
    <cfRule type="expression" dxfId="17451" priority="26647">
      <formula>IF($B30="Quoting",TRUE,FALSE)</formula>
    </cfRule>
    <cfRule type="expression" dxfId="17450" priority="26648">
      <formula>IF($B30="Quoting",TRUE,FALSE)</formula>
    </cfRule>
    <cfRule type="expression" dxfId="17449" priority="26649">
      <formula>IF($B30="Quoting",TRUE,FALSE)</formula>
    </cfRule>
    <cfRule type="expression" dxfId="17448" priority="26650">
      <formula>IF($B30="Quoting",TRUE,FALSE)</formula>
    </cfRule>
    <cfRule type="expression" dxfId="17447" priority="26651">
      <formula>IF($B30="Quoting",TRUE,FALSE)</formula>
    </cfRule>
    <cfRule type="expression" dxfId="17446" priority="26652">
      <formula>IF($B30="Quoting",TRUE,FALSE)</formula>
    </cfRule>
    <cfRule type="expression" dxfId="17445" priority="26653">
      <formula>IF($B30="Quoting",TRUE,FALSE)</formula>
    </cfRule>
    <cfRule type="expression" dxfId="17444" priority="26654">
      <formula>IF($B30="VOID",TRUE,FALSE)</formula>
    </cfRule>
    <cfRule type="expression" dxfId="17443" priority="26655">
      <formula>IF($B30="Quoting",TRUE,FALSE)</formula>
    </cfRule>
    <cfRule type="expression" dxfId="17442" priority="26656">
      <formula>IF($B30="Quoting",TRUE,FALSE)</formula>
    </cfRule>
    <cfRule type="expression" dxfId="17441" priority="26657">
      <formula>IF($B30="Quoting",TRUE,FALSE)</formula>
    </cfRule>
    <cfRule type="expression" dxfId="17440" priority="26658">
      <formula>IF($B30="Quoting",TRUE,FALSE)</formula>
    </cfRule>
    <cfRule type="expression" dxfId="17439" priority="26659">
      <formula>IF($B30="Quoting",TRUE,FALSE)</formula>
    </cfRule>
    <cfRule type="expression" dxfId="17438" priority="26660">
      <formula>IF($B30="Quoting",TRUE,FALSE)</formula>
    </cfRule>
    <cfRule type="expression" dxfId="17437" priority="26661">
      <formula>IF($B30="Quoting",TRUE,FALSE)</formula>
    </cfRule>
    <cfRule type="expression" dxfId="17436" priority="26662">
      <formula>IF($B30="Quoting",TRUE,FALSE)</formula>
    </cfRule>
    <cfRule type="expression" dxfId="17435" priority="26663">
      <formula>IF($B30="Quoting",TRUE,FALSE)</formula>
    </cfRule>
    <cfRule type="expression" dxfId="17434" priority="26664">
      <formula>IF($B30="Quoting",TRUE,FALSE)</formula>
    </cfRule>
    <cfRule type="expression" dxfId="17433" priority="26665">
      <formula>IF($B30="Quoting",TRUE,FALSE)</formula>
    </cfRule>
    <cfRule type="expression" dxfId="17432" priority="26666">
      <formula>IF($B30="Quoting",TRUE,FALSE)</formula>
    </cfRule>
    <cfRule type="expression" dxfId="17431" priority="26667">
      <formula>IF($B30="Quoting",TRUE,FALSE)</formula>
    </cfRule>
    <cfRule type="expression" dxfId="17430" priority="26668">
      <formula>IF($B30="Quoting",TRUE,FALSE)</formula>
    </cfRule>
    <cfRule type="expression" dxfId="17429" priority="26669">
      <formula>IF($B30="Quoting",TRUE,FALSE)</formula>
    </cfRule>
    <cfRule type="expression" dxfId="17428" priority="26670">
      <formula>IF($B30="Quoting",TRUE,FALSE)</formula>
    </cfRule>
    <cfRule type="expression" dxfId="17427" priority="26671">
      <formula>IF($B30="Quoting",TRUE,FALSE)</formula>
    </cfRule>
    <cfRule type="expression" dxfId="17426" priority="26672">
      <formula>IF($B30="Quoting",TRUE,FALSE)</formula>
    </cfRule>
    <cfRule type="expression" dxfId="17425" priority="26673">
      <formula>IF($B30="Quoting",TRUE,FALSE)</formula>
    </cfRule>
    <cfRule type="expression" dxfId="17424" priority="26674">
      <formula>IF($B30="Quoting",TRUE,FALSE)</formula>
    </cfRule>
    <cfRule type="expression" dxfId="17423" priority="26675">
      <formula>IF($B30="Quoting",TRUE,FALSE)</formula>
    </cfRule>
    <cfRule type="expression" dxfId="17422" priority="26676">
      <formula>IF($B30="Quoting",TRUE,FALSE)</formula>
    </cfRule>
    <cfRule type="expression" dxfId="17421" priority="26677">
      <formula>IF($B30="VOID",TRUE,FALSE)</formula>
    </cfRule>
    <cfRule type="expression" dxfId="17420" priority="26678">
      <formula>IF($B30="Quoting",TRUE,FALSE)</formula>
    </cfRule>
    <cfRule type="expression" dxfId="17419" priority="26679">
      <formula>IF($B30="Quoting",TRUE,FALSE)</formula>
    </cfRule>
    <cfRule type="expression" dxfId="17418" priority="26680">
      <formula>IF($B30="VOID",TRUE,FALSE)</formula>
    </cfRule>
    <cfRule type="expression" dxfId="17417" priority="26681">
      <formula>IF($B30="Quoting",TRUE,FALSE)</formula>
    </cfRule>
    <cfRule type="expression" dxfId="17416" priority="26682">
      <formula>IF($B30="Quoting",TRUE,FALSE)</formula>
    </cfRule>
    <cfRule type="expression" dxfId="17415" priority="26683">
      <formula>IF($B30="Quoting",TRUE,FALSE)</formula>
    </cfRule>
    <cfRule type="expression" dxfId="17414" priority="26684">
      <formula>IF($B30="VOID",TRUE,FALSE)</formula>
    </cfRule>
    <cfRule type="expression" dxfId="17413" priority="26685">
      <formula>IF($B30="Quoting",TRUE,FALSE)</formula>
    </cfRule>
    <cfRule type="expression" dxfId="17412" priority="26686">
      <formula>IF($B30="Quoting",TRUE,FALSE)</formula>
    </cfRule>
    <cfRule type="expression" dxfId="17411" priority="26687">
      <formula>IF($B30="Quoting",TRUE,FALSE)</formula>
    </cfRule>
    <cfRule type="expression" dxfId="17410" priority="26688">
      <formula>IF($B30="Quoting",TRUE,FALSE)</formula>
    </cfRule>
    <cfRule type="expression" dxfId="17409" priority="26689">
      <formula>IF($B30="Quoting",TRUE,FALSE)</formula>
    </cfRule>
    <cfRule type="expression" dxfId="17408" priority="26690">
      <formula>IF($B30="Quoting",TRUE,FALSE)</formula>
    </cfRule>
    <cfRule type="expression" dxfId="17407" priority="26691">
      <formula>IF($B30="Quoting",TRUE,FALSE)</formula>
    </cfRule>
    <cfRule type="expression" dxfId="17406" priority="26692">
      <formula>IF($B30="Quoting",TRUE,FALSE)</formula>
    </cfRule>
    <cfRule type="expression" dxfId="17405" priority="26693">
      <formula>IF($B30="Quoting",TRUE,FALSE)</formula>
    </cfRule>
    <cfRule type="expression" dxfId="17404" priority="26694">
      <formula>IF($B30="Quoting",TRUE,FALSE)</formula>
    </cfRule>
    <cfRule type="expression" dxfId="17403" priority="26695">
      <formula>IF($B30="Quoting",TRUE,FALSE)</formula>
    </cfRule>
    <cfRule type="expression" dxfId="17402" priority="26696">
      <formula>IF($B30="Quoting",TRUE,FALSE)</formula>
    </cfRule>
    <cfRule type="expression" dxfId="17401" priority="26697">
      <formula>IF($B30="Quoting",TRUE,FALSE)</formula>
    </cfRule>
    <cfRule type="expression" dxfId="17400" priority="26698">
      <formula>IF($B30="Quoting",TRUE,FALSE)</formula>
    </cfRule>
    <cfRule type="expression" dxfId="17399" priority="26699">
      <formula>IF($B30="Quoting",TRUE,FALSE)</formula>
    </cfRule>
    <cfRule type="expression" dxfId="17398" priority="26700">
      <formula>IF($B30="Quoting",TRUE,FALSE)</formula>
    </cfRule>
    <cfRule type="expression" dxfId="17397" priority="26701">
      <formula>IF($B30="Quoting",TRUE,FALSE)</formula>
    </cfRule>
    <cfRule type="expression" dxfId="17396" priority="26702">
      <formula>IF($B30="Quoting",TRUE,FALSE)</formula>
    </cfRule>
    <cfRule type="expression" dxfId="17395" priority="26703">
      <formula>IF($B30="Quoting",TRUE,FALSE)</formula>
    </cfRule>
    <cfRule type="expression" dxfId="17394" priority="26704">
      <formula>IF($B30="Quoting",TRUE,FALSE)</formula>
    </cfRule>
    <cfRule type="expression" dxfId="17393" priority="26705">
      <formula>IF($B30="Quoting",TRUE,FALSE)</formula>
    </cfRule>
    <cfRule type="expression" dxfId="17392" priority="26706">
      <formula>IF($B30="Quoting",TRUE,FALSE)</formula>
    </cfRule>
    <cfRule type="expression" dxfId="17391" priority="26707">
      <formula>IF($B30="Quoting",TRUE,FALSE)</formula>
    </cfRule>
    <cfRule type="expression" dxfId="17390" priority="26708">
      <formula>IF($B30="Quoting",TRUE,FALSE)</formula>
    </cfRule>
    <cfRule type="expression" dxfId="17389" priority="26709">
      <formula>IF($B30="Quoting",TRUE,FALSE)</formula>
    </cfRule>
    <cfRule type="expression" dxfId="17388" priority="26710">
      <formula>IF($B30="Quoting",TRUE,FALSE)</formula>
    </cfRule>
    <cfRule type="expression" dxfId="17387" priority="26711">
      <formula>IF($B30="Quoting",TRUE,FALSE)</formula>
    </cfRule>
    <cfRule type="expression" dxfId="17386" priority="26712">
      <formula>IF($B30="Quoting",TRUE,FALSE)</formula>
    </cfRule>
  </conditionalFormatting>
  <conditionalFormatting sqref="D35">
    <cfRule type="expression" dxfId="17385" priority="23467">
      <formula>IF($B35="Quoting",TRUE,FALSE)</formula>
    </cfRule>
    <cfRule type="expression" dxfId="17384" priority="23468">
      <formula>IF($B35="Quoting",TRUE,FALSE)</formula>
    </cfRule>
    <cfRule type="expression" dxfId="17383" priority="23469">
      <formula>IF($B35="Quoting",TRUE,FALSE)</formula>
    </cfRule>
    <cfRule type="expression" dxfId="17382" priority="23470">
      <formula>IF($B35="Quoting",TRUE,FALSE)</formula>
    </cfRule>
    <cfRule type="expression" dxfId="17381" priority="23471">
      <formula>IF($B35="Quoting",TRUE,FALSE)</formula>
    </cfRule>
    <cfRule type="expression" dxfId="17380" priority="23472">
      <formula>IF($B35="Quoting",TRUE,FALSE)</formula>
    </cfRule>
    <cfRule type="expression" dxfId="17379" priority="23473">
      <formula>IF($B35="Quoting",TRUE,FALSE)</formula>
    </cfRule>
    <cfRule type="expression" dxfId="17378" priority="23474">
      <formula>IF($B35="Quoting",TRUE,FALSE)</formula>
    </cfRule>
    <cfRule type="expression" dxfId="17377" priority="23475">
      <formula>IF($B35="Quoting",TRUE,FALSE)</formula>
    </cfRule>
    <cfRule type="expression" dxfId="17376" priority="23476">
      <formula>IF($B35="Quoting",TRUE,FALSE)</formula>
    </cfRule>
    <cfRule type="expression" dxfId="17375" priority="23477">
      <formula>IF($B35="Quoting",TRUE,FALSE)</formula>
    </cfRule>
    <cfRule type="expression" dxfId="17374" priority="23478">
      <formula>IF($B35="Quoting",TRUE,FALSE)</formula>
    </cfRule>
    <cfRule type="expression" dxfId="17373" priority="23479">
      <formula>IF($B35="Quoting",TRUE,FALSE)</formula>
    </cfRule>
    <cfRule type="expression" dxfId="17372" priority="23480">
      <formula>IF($B35="Quoting",TRUE,FALSE)</formula>
    </cfRule>
    <cfRule type="expression" dxfId="17371" priority="23481">
      <formula>IF($B35="Quoting",TRUE,FALSE)</formula>
    </cfRule>
    <cfRule type="expression" dxfId="17370" priority="23482">
      <formula>IF($B35="Quoting",TRUE,FALSE)</formula>
    </cfRule>
    <cfRule type="expression" dxfId="17369" priority="23483">
      <formula>IF($B35="Quoting",TRUE,FALSE)</formula>
    </cfRule>
    <cfRule type="expression" dxfId="17368" priority="23484">
      <formula>IF($B35="Quoting",TRUE,FALSE)</formula>
    </cfRule>
    <cfRule type="expression" dxfId="17367" priority="23485">
      <formula>IF($B35="Quoting",TRUE,FALSE)</formula>
    </cfRule>
    <cfRule type="expression" dxfId="17366" priority="23486">
      <formula>IF($B35="Quoting",TRUE,FALSE)</formula>
    </cfRule>
    <cfRule type="expression" dxfId="17365" priority="23487">
      <formula>IF($B35="Quoting",TRUE,FALSE)</formula>
    </cfRule>
    <cfRule type="expression" dxfId="17364" priority="23488">
      <formula>IF($B35="Quoting",TRUE,FALSE)</formula>
    </cfRule>
    <cfRule type="expression" dxfId="17363" priority="23489">
      <formula>IF($B35="Quoting",TRUE,FALSE)</formula>
    </cfRule>
    <cfRule type="expression" dxfId="17362" priority="23490">
      <formula>IF($B35="Quoting",TRUE,FALSE)</formula>
    </cfRule>
    <cfRule type="expression" dxfId="17361" priority="23491">
      <formula>IF($B35="Quoting",TRUE,FALSE)</formula>
    </cfRule>
    <cfRule type="expression" dxfId="17360" priority="23492">
      <formula>IF($B35="Quoting",TRUE,FALSE)</formula>
    </cfRule>
    <cfRule type="expression" dxfId="17359" priority="23493">
      <formula>IF($B35="Quoting",TRUE,FALSE)</formula>
    </cfRule>
    <cfRule type="expression" dxfId="17358" priority="23494">
      <formula>IF($B35="Quoting",TRUE,FALSE)</formula>
    </cfRule>
  </conditionalFormatting>
  <conditionalFormatting sqref="D36">
    <cfRule type="expression" dxfId="17357" priority="16221">
      <formula>IF($B36="VOID",TRUE,FALSE)</formula>
    </cfRule>
    <cfRule type="expression" dxfId="17356" priority="16222">
      <formula>IF($B36="Quoting",TRUE,FALSE)</formula>
    </cfRule>
    <cfRule type="expression" dxfId="17355" priority="16223">
      <formula>IF($B36="Quoting",TRUE,FALSE)</formula>
    </cfRule>
    <cfRule type="expression" dxfId="17354" priority="16224">
      <formula>IF($B36="Quoting",TRUE,FALSE)</formula>
    </cfRule>
    <cfRule type="expression" dxfId="17353" priority="16225">
      <formula>IF($B36="Quoting",TRUE,FALSE)</formula>
    </cfRule>
    <cfRule type="expression" dxfId="17352" priority="16226">
      <formula>IF($B36="Quoting",TRUE,FALSE)</formula>
    </cfRule>
    <cfRule type="expression" dxfId="17351" priority="16227">
      <formula>IF($B36="Quoting",TRUE,FALSE)</formula>
    </cfRule>
    <cfRule type="expression" dxfId="17350" priority="16228">
      <formula>IF($B36="Quoting",TRUE,FALSE)</formula>
    </cfRule>
    <cfRule type="expression" dxfId="17349" priority="16229">
      <formula>IF($B36="Quoting",TRUE,FALSE)</formula>
    </cfRule>
    <cfRule type="expression" dxfId="17348" priority="16230">
      <formula>IF($B36="Quoting",TRUE,FALSE)</formula>
    </cfRule>
    <cfRule type="expression" dxfId="17347" priority="16231">
      <formula>IF($B36="Quoting",TRUE,FALSE)</formula>
    </cfRule>
    <cfRule type="expression" dxfId="17346" priority="16232">
      <formula>IF($B36="Quoting",TRUE,FALSE)</formula>
    </cfRule>
    <cfRule type="expression" dxfId="17345" priority="16233">
      <formula>IF($B36="Quoting",TRUE,FALSE)</formula>
    </cfRule>
    <cfRule type="expression" dxfId="17344" priority="16234">
      <formula>IF($B36="Quoting",TRUE,FALSE)</formula>
    </cfRule>
    <cfRule type="expression" dxfId="17343" priority="16235">
      <formula>IF($B36="Quoting",TRUE,FALSE)</formula>
    </cfRule>
    <cfRule type="expression" dxfId="17342" priority="16236">
      <formula>IF($B36="Quoting",TRUE,FALSE)</formula>
    </cfRule>
    <cfRule type="expression" dxfId="17341" priority="16237">
      <formula>IF($B36="Quoting",TRUE,FALSE)</formula>
    </cfRule>
    <cfRule type="expression" dxfId="17340" priority="16238">
      <formula>IF($B36="Quoting",TRUE,FALSE)</formula>
    </cfRule>
    <cfRule type="expression" dxfId="17339" priority="16239">
      <formula>IF($B36="Quoting",TRUE,FALSE)</formula>
    </cfRule>
    <cfRule type="expression" dxfId="17338" priority="16240">
      <formula>IF($B36="Quoting",TRUE,FALSE)</formula>
    </cfRule>
    <cfRule type="expression" dxfId="17337" priority="16241">
      <formula>IF($B36="Quoting",TRUE,FALSE)</formula>
    </cfRule>
    <cfRule type="expression" dxfId="17336" priority="16242">
      <formula>IF($B36="Quoting",TRUE,FALSE)</formula>
    </cfRule>
    <cfRule type="expression" dxfId="17335" priority="16243">
      <formula>IF($B36="Quoting",TRUE,FALSE)</formula>
    </cfRule>
    <cfRule type="expression" dxfId="17334" priority="16244">
      <formula>IF($B36="Quoting",TRUE,FALSE)</formula>
    </cfRule>
    <cfRule type="expression" dxfId="17333" priority="16245">
      <formula>IF($B36="Quoting",TRUE,FALSE)</formula>
    </cfRule>
    <cfRule type="expression" dxfId="17332" priority="16246">
      <formula>IF($B36="Quoting",TRUE,FALSE)</formula>
    </cfRule>
    <cfRule type="expression" dxfId="17331" priority="16247">
      <formula>IF($B36="Quoting",TRUE,FALSE)</formula>
    </cfRule>
    <cfRule type="expression" dxfId="17330" priority="16248">
      <formula>IF($B36="Quoting",TRUE,FALSE)</formula>
    </cfRule>
    <cfRule type="expression" dxfId="17329" priority="16249">
      <formula>IF($B36="Quoting",TRUE,FALSE)</formula>
    </cfRule>
    <cfRule type="expression" dxfId="17328" priority="16250">
      <formula>IF($B36="Quoting",TRUE,FALSE)</formula>
    </cfRule>
    <cfRule type="expression" dxfId="17327" priority="16251">
      <formula>IF($B36="Quoting",TRUE,FALSE)</formula>
    </cfRule>
    <cfRule type="expression" dxfId="17326" priority="16252">
      <formula>IF($B36="Quoting",TRUE,FALSE)</formula>
    </cfRule>
    <cfRule type="expression" dxfId="17325" priority="16253">
      <formula>IF($B36="Quoting",TRUE,FALSE)</formula>
    </cfRule>
    <cfRule type="expression" dxfId="17324" priority="16254">
      <formula>IF($B36="Quoting",TRUE,FALSE)</formula>
    </cfRule>
    <cfRule type="expression" dxfId="17323" priority="16255">
      <formula>IF($B36="Quoting",TRUE,FALSE)</formula>
    </cfRule>
    <cfRule type="expression" dxfId="17322" priority="16256">
      <formula>IF($B36="Quoting",TRUE,FALSE)</formula>
    </cfRule>
    <cfRule type="expression" dxfId="17321" priority="16257">
      <formula>IF($B36="Quoting",TRUE,FALSE)</formula>
    </cfRule>
    <cfRule type="expression" dxfId="17320" priority="16258">
      <formula>IF($B36="Quoting",TRUE,FALSE)</formula>
    </cfRule>
    <cfRule type="expression" dxfId="17319" priority="16259">
      <formula>IF($B36="Quoting",TRUE,FALSE)</formula>
    </cfRule>
    <cfRule type="expression" dxfId="17318" priority="16260">
      <formula>IF($B36="Quoting",TRUE,FALSE)</formula>
    </cfRule>
    <cfRule type="expression" dxfId="17317" priority="16261">
      <formula>IF($B36="Quoting",TRUE,FALSE)</formula>
    </cfRule>
    <cfRule type="expression" dxfId="17316" priority="16262">
      <formula>IF($B36="Quoting",TRUE,FALSE)</formula>
    </cfRule>
    <cfRule type="expression" dxfId="17315" priority="16263">
      <formula>IF($B36="Quoting",TRUE,FALSE)</formula>
    </cfRule>
    <cfRule type="expression" dxfId="17314" priority="16264">
      <formula>IF($B36="Quoting",TRUE,FALSE)</formula>
    </cfRule>
    <cfRule type="expression" dxfId="17313" priority="16265">
      <formula>IF($B36="Quoting",TRUE,FALSE)</formula>
    </cfRule>
    <cfRule type="expression" dxfId="17312" priority="16266">
      <formula>IF($B36="Quoting",TRUE,FALSE)</formula>
    </cfRule>
    <cfRule type="expression" dxfId="17311" priority="16267">
      <formula>IF($B36="Quoting",TRUE,FALSE)</formula>
    </cfRule>
    <cfRule type="expression" dxfId="17310" priority="16268">
      <formula>IF($B36="Quoting",TRUE,FALSE)</formula>
    </cfRule>
    <cfRule type="expression" dxfId="17309" priority="16269">
      <formula>IF($B36="Quoting",TRUE,FALSE)</formula>
    </cfRule>
    <cfRule type="expression" dxfId="17308" priority="16270">
      <formula>IF($B36="Quoting",TRUE,FALSE)</formula>
    </cfRule>
    <cfRule type="expression" dxfId="17307" priority="16271">
      <formula>IF($B36="Quoting",TRUE,FALSE)</formula>
    </cfRule>
    <cfRule type="expression" dxfId="17306" priority="16272">
      <formula>IF($B36="Quoting",TRUE,FALSE)</formula>
    </cfRule>
    <cfRule type="expression" dxfId="17305" priority="16273">
      <formula>IF($B36="Quoting",TRUE,FALSE)</formula>
    </cfRule>
    <cfRule type="expression" dxfId="17304" priority="16274">
      <formula>IF($B36="Quoting",TRUE,FALSE)</formula>
    </cfRule>
    <cfRule type="expression" dxfId="17303" priority="16275">
      <formula>IF($B36="Quoting",TRUE,FALSE)</formula>
    </cfRule>
    <cfRule type="expression" dxfId="17302" priority="16276">
      <formula>IF($B36="Quoting",TRUE,FALSE)</formula>
    </cfRule>
    <cfRule type="expression" dxfId="17301" priority="16277">
      <formula>IF($B36="Quoting",TRUE,FALSE)</formula>
    </cfRule>
    <cfRule type="expression" dxfId="17300" priority="16278">
      <formula>IF($B36="Quoting",TRUE,FALSE)</formula>
    </cfRule>
    <cfRule type="expression" dxfId="17299" priority="16279">
      <formula>IF($B36="Quoting",TRUE,FALSE)</formula>
    </cfRule>
    <cfRule type="expression" dxfId="17298" priority="16280">
      <formula>IF($B36="Quoting",TRUE,FALSE)</formula>
    </cfRule>
    <cfRule type="expression" dxfId="17297" priority="16281">
      <formula>IF($B36="Quoting",TRUE,FALSE)</formula>
    </cfRule>
    <cfRule type="expression" dxfId="17296" priority="16282">
      <formula>IF($B36="Quoting",TRUE,FALSE)</formula>
    </cfRule>
    <cfRule type="expression" dxfId="17295" priority="16283">
      <formula>IF($B36="Quoting",TRUE,FALSE)</formula>
    </cfRule>
    <cfRule type="expression" dxfId="17294" priority="16284">
      <formula>IF($B36="Quoting",TRUE,FALSE)</formula>
    </cfRule>
    <cfRule type="expression" dxfId="17293" priority="16285">
      <formula>IF($B36="Quoting",TRUE,FALSE)</formula>
    </cfRule>
    <cfRule type="expression" dxfId="17292" priority="16286">
      <formula>IF($B36="Quoting",TRUE,FALSE)</formula>
    </cfRule>
    <cfRule type="expression" dxfId="17291" priority="16287">
      <formula>IF($B36="Quoting",TRUE,FALSE)</formula>
    </cfRule>
    <cfRule type="expression" dxfId="17290" priority="16288">
      <formula>IF($B36="Quoting",TRUE,FALSE)</formula>
    </cfRule>
    <cfRule type="expression" dxfId="17289" priority="16289">
      <formula>IF($B36="Quoting",TRUE,FALSE)</formula>
    </cfRule>
    <cfRule type="expression" dxfId="17288" priority="16290">
      <formula>IF($B36="Quoting",TRUE,FALSE)</formula>
    </cfRule>
    <cfRule type="expression" dxfId="17287" priority="16291">
      <formula>IF($B36="Quoting",TRUE,FALSE)</formula>
    </cfRule>
    <cfRule type="expression" dxfId="17286" priority="16292">
      <formula>IF($B36="Quoting",TRUE,FALSE)</formula>
    </cfRule>
    <cfRule type="expression" dxfId="17285" priority="16293">
      <formula>IF($B36="Quoting",TRUE,FALSE)</formula>
    </cfRule>
    <cfRule type="expression" dxfId="17284" priority="16294">
      <formula>IF($B36="Quoting",TRUE,FALSE)</formula>
    </cfRule>
    <cfRule type="expression" dxfId="17283" priority="16295">
      <formula>IF($B36="Quoting",TRUE,FALSE)</formula>
    </cfRule>
    <cfRule type="expression" dxfId="17282" priority="16296">
      <formula>IF($B36="Quoting",TRUE,FALSE)</formula>
    </cfRule>
    <cfRule type="expression" dxfId="17281" priority="16297">
      <formula>IF($B36="Quoting",TRUE,FALSE)</formula>
    </cfRule>
    <cfRule type="expression" dxfId="17280" priority="16298">
      <formula>IF($B36="Quoting",TRUE,FALSE)</formula>
    </cfRule>
    <cfRule type="expression" dxfId="17279" priority="16299">
      <formula>IF($B36="Quoting",TRUE,FALSE)</formula>
    </cfRule>
    <cfRule type="expression" dxfId="17278" priority="16300">
      <formula>IF($B36="Quoting",TRUE,FALSE)</formula>
    </cfRule>
    <cfRule type="expression" dxfId="17277" priority="16301">
      <formula>IF($B36="Quoting",TRUE,FALSE)</formula>
    </cfRule>
    <cfRule type="expression" dxfId="17276" priority="16302">
      <formula>IF($B36="Quoting",TRUE,FALSE)</formula>
    </cfRule>
    <cfRule type="expression" dxfId="17275" priority="16303">
      <formula>IF($B36="Quoting",TRUE,FALSE)</formula>
    </cfRule>
    <cfRule type="expression" dxfId="17274" priority="16304">
      <formula>IF($B36="Quoting",TRUE,FALSE)</formula>
    </cfRule>
    <cfRule type="expression" dxfId="17273" priority="16305">
      <formula>IF($B36="Quoting",TRUE,FALSE)</formula>
    </cfRule>
  </conditionalFormatting>
  <conditionalFormatting sqref="D37">
    <cfRule type="expression" dxfId="17272" priority="4139">
      <formula>IF($B37="Quoting",TRUE,FALSE)</formula>
    </cfRule>
    <cfRule type="expression" dxfId="17271" priority="4140">
      <formula>IF($B37="Quoting",TRUE,FALSE)</formula>
    </cfRule>
    <cfRule type="expression" dxfId="17270" priority="4141">
      <formula>IF($B37="Quoting",TRUE,FALSE)</formula>
    </cfRule>
    <cfRule type="expression" dxfId="17269" priority="4142">
      <formula>IF($B37="Quoting",TRUE,FALSE)</formula>
    </cfRule>
    <cfRule type="expression" dxfId="17268" priority="4143">
      <formula>IF($B37="Quoting",TRUE,FALSE)</formula>
    </cfRule>
    <cfRule type="expression" dxfId="17267" priority="4144">
      <formula>IF($B37="Quoting",TRUE,FALSE)</formula>
    </cfRule>
    <cfRule type="expression" dxfId="17266" priority="4145">
      <formula>IF($B37="Quoting",TRUE,FALSE)</formula>
    </cfRule>
    <cfRule type="expression" dxfId="17265" priority="4146">
      <formula>IF($B37="Quoting",TRUE,FALSE)</formula>
    </cfRule>
    <cfRule type="expression" dxfId="17264" priority="4147">
      <formula>IF($B37="Quoting",TRUE,FALSE)</formula>
    </cfRule>
    <cfRule type="expression" dxfId="17263" priority="4148">
      <formula>IF($B37="Quoting",TRUE,FALSE)</formula>
    </cfRule>
    <cfRule type="expression" dxfId="17262" priority="4149">
      <formula>IF($B37="Quoting",TRUE,FALSE)</formula>
    </cfRule>
    <cfRule type="expression" dxfId="17261" priority="4150">
      <formula>IF($B37="Quoting",TRUE,FALSE)</formula>
    </cfRule>
    <cfRule type="expression" dxfId="17260" priority="4151">
      <formula>IF($B37="Quoting",TRUE,FALSE)</formula>
    </cfRule>
    <cfRule type="expression" dxfId="17259" priority="4152">
      <formula>IF($B37="Quoting",TRUE,FALSE)</formula>
    </cfRule>
    <cfRule type="expression" dxfId="17258" priority="4153">
      <formula>IF($B37="Quoting",TRUE,FALSE)</formula>
    </cfRule>
    <cfRule type="expression" dxfId="17257" priority="4154">
      <formula>IF($B37="Quoting",TRUE,FALSE)</formula>
    </cfRule>
    <cfRule type="expression" dxfId="17256" priority="4155">
      <formula>IF($B37="Quoting",TRUE,FALSE)</formula>
    </cfRule>
    <cfRule type="expression" dxfId="17255" priority="4156">
      <formula>IF($B37="Quoting",TRUE,FALSE)</formula>
    </cfRule>
    <cfRule type="expression" dxfId="17254" priority="4157">
      <formula>IF($B37="Quoting",TRUE,FALSE)</formula>
    </cfRule>
    <cfRule type="expression" dxfId="17253" priority="4158">
      <formula>IF($B37="Quoting",TRUE,FALSE)</formula>
    </cfRule>
    <cfRule type="expression" dxfId="17252" priority="4159">
      <formula>IF($B37="Quoting",TRUE,FALSE)</formula>
    </cfRule>
    <cfRule type="expression" dxfId="17251" priority="4160">
      <formula>IF($B37="Quoting",TRUE,FALSE)</formula>
    </cfRule>
    <cfRule type="expression" dxfId="17250" priority="4161">
      <formula>IF($B37="Quoting",TRUE,FALSE)</formula>
    </cfRule>
    <cfRule type="expression" dxfId="17249" priority="4162">
      <formula>IF($B37="Quoting",TRUE,FALSE)</formula>
    </cfRule>
    <cfRule type="expression" dxfId="17248" priority="4163">
      <formula>IF($B37="Quoting",TRUE,FALSE)</formula>
    </cfRule>
    <cfRule type="expression" dxfId="17247" priority="4164">
      <formula>IF($B37="Quoting",TRUE,FALSE)</formula>
    </cfRule>
    <cfRule type="expression" dxfId="17246" priority="4165">
      <formula>IF($B37="Quoting",TRUE,FALSE)</formula>
    </cfRule>
    <cfRule type="expression" dxfId="17245" priority="4166">
      <formula>IF($B37="Quoting",TRUE,FALSE)</formula>
    </cfRule>
    <cfRule type="expression" dxfId="17244" priority="4167">
      <formula>IF($B37="VOID",TRUE,FALSE)</formula>
    </cfRule>
    <cfRule type="expression" dxfId="17243" priority="4168">
      <formula>IF($B37="Quoting",TRUE,FALSE)</formula>
    </cfRule>
    <cfRule type="expression" dxfId="17242" priority="4169">
      <formula>IF($B37="Quoting",TRUE,FALSE)</formula>
    </cfRule>
    <cfRule type="expression" dxfId="17241" priority="4170">
      <formula>IF($B37="Quoting",TRUE,FALSE)</formula>
    </cfRule>
    <cfRule type="expression" dxfId="17240" priority="4171">
      <formula>IF($B37="Quoting",TRUE,FALSE)</formula>
    </cfRule>
    <cfRule type="expression" dxfId="17239" priority="4172">
      <formula>IF($B37="Quoting",TRUE,FALSE)</formula>
    </cfRule>
    <cfRule type="expression" dxfId="17238" priority="4173">
      <formula>IF($B37="Quoting",TRUE,FALSE)</formula>
    </cfRule>
    <cfRule type="expression" dxfId="17237" priority="4174">
      <formula>IF($B37="Quoting",TRUE,FALSE)</formula>
    </cfRule>
    <cfRule type="expression" dxfId="17236" priority="4175">
      <formula>IF($B37="Quoting",TRUE,FALSE)</formula>
    </cfRule>
    <cfRule type="expression" dxfId="17235" priority="4176">
      <formula>IF($B37="Quoting",TRUE,FALSE)</formula>
    </cfRule>
    <cfRule type="expression" dxfId="17234" priority="4177">
      <formula>IF($B37="Quoting",TRUE,FALSE)</formula>
    </cfRule>
    <cfRule type="expression" dxfId="17233" priority="4178">
      <formula>IF($B37="Quoting",TRUE,FALSE)</formula>
    </cfRule>
    <cfRule type="expression" dxfId="17232" priority="4179">
      <formula>IF($B37="Quoting",TRUE,FALSE)</formula>
    </cfRule>
    <cfRule type="expression" dxfId="17231" priority="4180">
      <formula>IF($B37="Quoting",TRUE,FALSE)</formula>
    </cfRule>
    <cfRule type="expression" dxfId="17230" priority="4181">
      <formula>IF($B37="Quoting",TRUE,FALSE)</formula>
    </cfRule>
    <cfRule type="expression" dxfId="17229" priority="4182">
      <formula>IF($B37="Quoting",TRUE,FALSE)</formula>
    </cfRule>
    <cfRule type="expression" dxfId="17228" priority="4183">
      <formula>IF($B37="Quoting",TRUE,FALSE)</formula>
    </cfRule>
    <cfRule type="expression" dxfId="17227" priority="4184">
      <formula>IF($B37="Quoting",TRUE,FALSE)</formula>
    </cfRule>
    <cfRule type="expression" dxfId="17226" priority="4185">
      <formula>IF($B37="Quoting",TRUE,FALSE)</formula>
    </cfRule>
    <cfRule type="expression" dxfId="17225" priority="4186">
      <formula>IF($B37="Quoting",TRUE,FALSE)</formula>
    </cfRule>
    <cfRule type="expression" dxfId="17224" priority="4187">
      <formula>IF($B37="Quoting",TRUE,FALSE)</formula>
    </cfRule>
    <cfRule type="expression" dxfId="17223" priority="4188">
      <formula>IF($B37="Quoting",TRUE,FALSE)</formula>
    </cfRule>
    <cfRule type="expression" dxfId="17222" priority="4189">
      <formula>IF($B37="Quoting",TRUE,FALSE)</formula>
    </cfRule>
    <cfRule type="expression" dxfId="17221" priority="4190">
      <formula>IF($B37="Quoting",TRUE,FALSE)</formula>
    </cfRule>
    <cfRule type="expression" dxfId="17220" priority="4191">
      <formula>IF($B37="Quoting",TRUE,FALSE)</formula>
    </cfRule>
    <cfRule type="expression" dxfId="17219" priority="4192">
      <formula>IF($B37="Quoting",TRUE,FALSE)</formula>
    </cfRule>
    <cfRule type="expression" dxfId="17218" priority="4193">
      <formula>IF($B37="Quoting",TRUE,FALSE)</formula>
    </cfRule>
    <cfRule type="expression" dxfId="17217" priority="4194">
      <formula>IF($B37="Quoting",TRUE,FALSE)</formula>
    </cfRule>
    <cfRule type="expression" dxfId="17216" priority="4195">
      <formula>IF($B37="Quoting",TRUE,FALSE)</formula>
    </cfRule>
  </conditionalFormatting>
  <conditionalFormatting sqref="D5:E5">
    <cfRule type="expression" dxfId="17215" priority="51848">
      <formula>IF($B5="VOID",TRUE,FALSE)</formula>
    </cfRule>
  </conditionalFormatting>
  <conditionalFormatting sqref="D6:E6">
    <cfRule type="expression" dxfId="17214" priority="51797">
      <formula>IF($B6="VOID",TRUE,FALSE)</formula>
    </cfRule>
  </conditionalFormatting>
  <conditionalFormatting sqref="D8:E8">
    <cfRule type="expression" dxfId="17213" priority="51171">
      <formula>IF($B8="VOID",TRUE,FALSE)</formula>
    </cfRule>
  </conditionalFormatting>
  <conditionalFormatting sqref="D10:E10">
    <cfRule type="expression" dxfId="17212" priority="50610">
      <formula>IF($B10="VOID",TRUE,FALSE)</formula>
    </cfRule>
  </conditionalFormatting>
  <conditionalFormatting sqref="D12:E12">
    <cfRule type="expression" dxfId="17211" priority="50373">
      <formula>IF($B12="Quoting",TRUE,FALSE)</formula>
    </cfRule>
  </conditionalFormatting>
  <conditionalFormatting sqref="D13:E13">
    <cfRule type="expression" dxfId="17210" priority="50366">
      <formula>IF($B13="Quoting",TRUE,FALSE)</formula>
    </cfRule>
  </conditionalFormatting>
  <conditionalFormatting sqref="D14:E14">
    <cfRule type="expression" dxfId="17209" priority="50362">
      <formula>IF($B14="Quoting",TRUE,FALSE)</formula>
    </cfRule>
  </conditionalFormatting>
  <conditionalFormatting sqref="D15:E15">
    <cfRule type="expression" dxfId="17208" priority="50358">
      <formula>IF($B15="Quoting",TRUE,FALSE)</formula>
    </cfRule>
  </conditionalFormatting>
  <conditionalFormatting sqref="D29:E29">
    <cfRule type="expression" dxfId="17207" priority="26942">
      <formula>IF($B29="Larry",TRUE,FALSE)</formula>
    </cfRule>
    <cfRule type="expression" dxfId="17206" priority="26943">
      <formula>IF($B29="VOID",TRUE,FALSE)</formula>
    </cfRule>
    <cfRule type="expression" dxfId="17205" priority="26944">
      <formula>IF($B29="Larry",TRUE,FALSE)</formula>
    </cfRule>
    <cfRule type="expression" dxfId="17204" priority="26945">
      <formula>IF($B29="VOID",TRUE,FALSE)</formula>
    </cfRule>
  </conditionalFormatting>
  <conditionalFormatting sqref="D30:F30">
    <cfRule type="expression" dxfId="17203" priority="26581">
      <formula>IF($B30="VOID",TRUE,FALSE)</formula>
    </cfRule>
  </conditionalFormatting>
  <conditionalFormatting sqref="D35:F35">
    <cfRule type="expression" dxfId="17202" priority="23466">
      <formula>IF($B35="Quoting",TRUE,FALSE)</formula>
    </cfRule>
  </conditionalFormatting>
  <conditionalFormatting sqref="D36:F36">
    <cfRule type="expression" dxfId="17201" priority="16217">
      <formula>IF($B36="Quoting",TRUE,FALSE)</formula>
    </cfRule>
    <cfRule type="expression" dxfId="17200" priority="16218">
      <formula>IF($B36="Quoting",TRUE,FALSE)</formula>
    </cfRule>
    <cfRule type="expression" dxfId="17199" priority="16219">
      <formula>IF($B36="Quoting",TRUE,FALSE)</formula>
    </cfRule>
    <cfRule type="expression" dxfId="17198" priority="16220">
      <formula>IF($B36="Quoting",TRUE,FALSE)</formula>
    </cfRule>
  </conditionalFormatting>
  <conditionalFormatting sqref="D37:F37">
    <cfRule type="expression" dxfId="17197" priority="4137">
      <formula>IF($B37="Quoting",TRUE,FALSE)</formula>
    </cfRule>
    <cfRule type="expression" dxfId="17196" priority="4138">
      <formula>IF($B37="Quoting",TRUE,FALSE)</formula>
    </cfRule>
  </conditionalFormatting>
  <conditionalFormatting sqref="D5:G5">
    <cfRule type="expression" dxfId="17195" priority="49294">
      <formula>IF($B5="Larry",TRUE,FALSE)</formula>
    </cfRule>
    <cfRule type="expression" dxfId="17194" priority="49295">
      <formula>IF($B5="VOID",TRUE,FALSE)</formula>
    </cfRule>
    <cfRule type="expression" dxfId="17193" priority="49296">
      <formula>IF($B5="Larry",TRUE,FALSE)</formula>
    </cfRule>
    <cfRule type="expression" dxfId="17192" priority="49297">
      <formula>IF($B5="VOID",TRUE,FALSE)</formula>
    </cfRule>
    <cfRule type="expression" dxfId="17191" priority="51806">
      <formula>IF($B5="VOID",TRUE,FALSE)</formula>
    </cfRule>
  </conditionalFormatting>
  <conditionalFormatting sqref="D6:G6">
    <cfRule type="expression" dxfId="17190" priority="51763">
      <formula>IF($B6="VOID",TRUE,FALSE)</formula>
    </cfRule>
  </conditionalFormatting>
  <conditionalFormatting sqref="D8:G8">
    <cfRule type="expression" dxfId="17189" priority="51137">
      <formula>IF($B8="VOID",TRUE,FALSE)</formula>
    </cfRule>
  </conditionalFormatting>
  <conditionalFormatting sqref="D10:G10">
    <cfRule type="expression" dxfId="17188" priority="50576">
      <formula>IF($B10="VOID",TRUE,FALSE)</formula>
    </cfRule>
  </conditionalFormatting>
  <conditionalFormatting sqref="D15:G15">
    <cfRule type="expression" dxfId="17187" priority="49699">
      <formula>IF($B15="Larry",TRUE,FALSE)</formula>
    </cfRule>
    <cfRule type="expression" dxfId="17186" priority="49768">
      <formula>IF($B15="VOID",TRUE,FALSE)</formula>
    </cfRule>
    <cfRule type="expression" dxfId="17185" priority="49769">
      <formula>IF($B15="VOID",TRUE,FALSE)</formula>
    </cfRule>
    <cfRule type="expression" dxfId="17184" priority="49770">
      <formula>IF($B15="VOID",TRUE,FALSE)</formula>
    </cfRule>
    <cfRule type="expression" dxfId="17183" priority="49771">
      <formula>IF($B15="VOID",TRUE,FALSE)</formula>
    </cfRule>
  </conditionalFormatting>
  <conditionalFormatting sqref="D16:G16">
    <cfRule type="expression" dxfId="17182" priority="49677">
      <formula>IF($B16="Larry",TRUE,FALSE)</formula>
    </cfRule>
    <cfRule type="expression" dxfId="17181" priority="49678">
      <formula>IF($B16="VOID",TRUE,FALSE)</formula>
    </cfRule>
  </conditionalFormatting>
  <conditionalFormatting sqref="D17:G17">
    <cfRule type="expression" dxfId="17180" priority="49523">
      <formula>IF($B17="Larry",TRUE,FALSE)</formula>
    </cfRule>
    <cfRule type="expression" dxfId="17179" priority="49524">
      <formula>IF($B17="VOID",TRUE,FALSE)</formula>
    </cfRule>
  </conditionalFormatting>
  <conditionalFormatting sqref="D21:G21">
    <cfRule type="expression" dxfId="17178" priority="49342">
      <formula>IF($B21="Larry",TRUE,FALSE)</formula>
    </cfRule>
    <cfRule type="expression" dxfId="17177" priority="49343">
      <formula>IF($B21="VOID",TRUE,FALSE)</formula>
    </cfRule>
    <cfRule type="expression" dxfId="17176" priority="49496">
      <formula>IF($B21="Larry",TRUE,FALSE)</formula>
    </cfRule>
    <cfRule type="expression" dxfId="17175" priority="49497">
      <formula>IF($B21="VOID",TRUE,FALSE)</formula>
    </cfRule>
  </conditionalFormatting>
  <conditionalFormatting sqref="D24:G24">
    <cfRule type="expression" dxfId="17174" priority="49131">
      <formula>IF($B24="Quoting",TRUE,FALSE)</formula>
    </cfRule>
  </conditionalFormatting>
  <conditionalFormatting sqref="D27:G27">
    <cfRule type="expression" dxfId="17173" priority="49020">
      <formula>IF($B27="Larry",TRUE,FALSE)</formula>
    </cfRule>
    <cfRule type="expression" dxfId="17172" priority="49021">
      <formula>IF($B27="VOID",TRUE,FALSE)</formula>
    </cfRule>
    <cfRule type="expression" dxfId="17171" priority="49022">
      <formula>IF($B27="Larry",TRUE,FALSE)</formula>
    </cfRule>
    <cfRule type="expression" dxfId="17170" priority="49023">
      <formula>IF($B27="VOID",TRUE,FALSE)</formula>
    </cfRule>
    <cfRule type="expression" dxfId="17169" priority="49024">
      <formula>IF($B27="VOID",TRUE,FALSE)</formula>
    </cfRule>
    <cfRule type="expression" dxfId="17168" priority="49025">
      <formula>IF($B27="Larry",TRUE,FALSE)</formula>
    </cfRule>
  </conditionalFormatting>
  <conditionalFormatting sqref="D28:G28">
    <cfRule type="expression" dxfId="17167" priority="47607">
      <formula>IF($B28="Larry",TRUE,FALSE)</formula>
    </cfRule>
    <cfRule type="expression" dxfId="17166" priority="47608">
      <formula>IF($B28="VOID",TRUE,FALSE)</formula>
    </cfRule>
    <cfRule type="expression" dxfId="17165" priority="47609">
      <formula>IF($B28="Larry",TRUE,FALSE)</formula>
    </cfRule>
    <cfRule type="expression" dxfId="17164" priority="47610">
      <formula>IF($B28="VOID",TRUE,FALSE)</formula>
    </cfRule>
    <cfRule type="expression" dxfId="17163" priority="47611">
      <formula>IF($B28="VOID",TRUE,FALSE)</formula>
    </cfRule>
    <cfRule type="expression" dxfId="17162" priority="47612">
      <formula>IF($B28="Larry",TRUE,FALSE)</formula>
    </cfRule>
    <cfRule type="expression" dxfId="17161" priority="47613">
      <formula>IF($B28="Larry",TRUE,FALSE)</formula>
    </cfRule>
    <cfRule type="expression" dxfId="17160" priority="47614">
      <formula>IF($B28="VOID",TRUE,FALSE)</formula>
    </cfRule>
    <cfRule type="expression" dxfId="17159" priority="48847">
      <formula>IF($B28="Quoting",TRUE,FALSE)</formula>
    </cfRule>
  </conditionalFormatting>
  <conditionalFormatting sqref="D29:G29">
    <cfRule type="expression" dxfId="17158" priority="26938">
      <formula>IF($B29="Larry",TRUE,FALSE)</formula>
    </cfRule>
    <cfRule type="expression" dxfId="17157" priority="26939">
      <formula>IF($B29="VOID",TRUE,FALSE)</formula>
    </cfRule>
    <cfRule type="expression" dxfId="17156" priority="26940">
      <formula>IF($B29="Larry",TRUE,FALSE)</formula>
    </cfRule>
    <cfRule type="expression" dxfId="17155" priority="26941">
      <formula>IF($B29="VOID",TRUE,FALSE)</formula>
    </cfRule>
  </conditionalFormatting>
  <conditionalFormatting sqref="D30:G30">
    <cfRule type="expression" dxfId="17154" priority="26580">
      <formula>IF($B30="VOID",TRUE,FALSE)</formula>
    </cfRule>
    <cfRule type="expression" dxfId="17153" priority="26713">
      <formula>IF($B30="VOID",TRUE,FALSE)</formula>
    </cfRule>
    <cfRule type="expression" dxfId="17152" priority="26714">
      <formula>IF($B30="VOID",TRUE,FALSE)</formula>
    </cfRule>
    <cfRule type="expression" dxfId="17151" priority="26715">
      <formula>IF($B30="Larry",TRUE,FALSE)</formula>
    </cfRule>
    <cfRule type="expression" dxfId="17150" priority="26716">
      <formula>IF($B30="Larry",TRUE,FALSE)</formula>
    </cfRule>
    <cfRule type="expression" dxfId="17149" priority="26717">
      <formula>IF($B30="Larry",TRUE,FALSE)</formula>
    </cfRule>
    <cfRule type="expression" dxfId="17148" priority="26718">
      <formula>IF($B30="VOID",TRUE,FALSE)</formula>
    </cfRule>
  </conditionalFormatting>
  <conditionalFormatting sqref="D35:G35">
    <cfRule type="expression" dxfId="17147" priority="23465">
      <formula>IF($B35="Quoting",TRUE,FALSE)</formula>
    </cfRule>
  </conditionalFormatting>
  <conditionalFormatting sqref="D36:H36">
    <cfRule type="expression" dxfId="17146" priority="16216">
      <formula>IF($B36="Quoting",TRUE,FALSE)</formula>
    </cfRule>
  </conditionalFormatting>
  <conditionalFormatting sqref="D37:H37">
    <cfRule type="expression" dxfId="17145" priority="4136">
      <formula>IF($B37="Quoting",TRUE,FALSE)</formula>
    </cfRule>
  </conditionalFormatting>
  <conditionalFormatting sqref="E5">
    <cfRule type="expression" dxfId="17144" priority="49142">
      <formula>IF($B5="Larry",TRUE,FALSE)</formula>
    </cfRule>
    <cfRule type="expression" dxfId="17143" priority="49143">
      <formula>IF($B5="VOID",TRUE,FALSE)</formula>
    </cfRule>
    <cfRule type="expression" dxfId="17142" priority="49144">
      <formula>IF($B5="VOID",TRUE,FALSE)</formula>
    </cfRule>
    <cfRule type="expression" dxfId="17141" priority="49145">
      <formula>IF($B5="VOID",TRUE,FALSE)</formula>
    </cfRule>
    <cfRule type="expression" dxfId="17140" priority="49146">
      <formula>IF($B5="VOID",TRUE,FALSE)</formula>
    </cfRule>
    <cfRule type="expression" dxfId="17139" priority="49147">
      <formula>IF($B5="VOID",TRUE,FALSE)</formula>
    </cfRule>
    <cfRule type="expression" dxfId="17138" priority="49148">
      <formula>IF($B5="VOID",TRUE,FALSE)</formula>
    </cfRule>
    <cfRule type="expression" dxfId="17137" priority="49149">
      <formula>IF($B5="VOID",TRUE,FALSE)</formula>
    </cfRule>
    <cfRule type="expression" dxfId="17136" priority="49150">
      <formula>IF($B5="VOID",TRUE,FALSE)</formula>
    </cfRule>
    <cfRule type="expression" dxfId="17135" priority="49151">
      <formula>IF($B5="VOID",TRUE,FALSE)</formula>
    </cfRule>
    <cfRule type="expression" dxfId="17134" priority="49152">
      <formula>IF($B5="VOID",TRUE,FALSE)</formula>
    </cfRule>
    <cfRule type="expression" dxfId="17133" priority="49153">
      <formula>IF($B5="VOID",TRUE,FALSE)</formula>
    </cfRule>
    <cfRule type="expression" dxfId="17132" priority="49154">
      <formula>IF($B5="VOID",TRUE,FALSE)</formula>
    </cfRule>
    <cfRule type="expression" dxfId="17131" priority="49155">
      <formula>IF($B5="VOID",TRUE,FALSE)</formula>
    </cfRule>
    <cfRule type="expression" dxfId="17130" priority="49156">
      <formula>IF($B5="VOID",TRUE,FALSE)</formula>
    </cfRule>
    <cfRule type="expression" dxfId="17129" priority="49157">
      <formula>IF($B5="VOID",TRUE,FALSE)</formula>
    </cfRule>
    <cfRule type="expression" dxfId="17128" priority="49158">
      <formula>IF($B5="VOID",TRUE,FALSE)</formula>
    </cfRule>
    <cfRule type="expression" dxfId="17127" priority="49159">
      <formula>IF($B5="VOID",TRUE,FALSE)</formula>
    </cfRule>
    <cfRule type="expression" dxfId="17126" priority="49160">
      <formula>IF($B5="VOID",TRUE,FALSE)</formula>
    </cfRule>
    <cfRule type="expression" dxfId="17125" priority="49161">
      <formula>IF($B5="VOID",TRUE,FALSE)</formula>
    </cfRule>
    <cfRule type="expression" dxfId="17124" priority="49162">
      <formula>IF($B5="VOID",TRUE,FALSE)</formula>
    </cfRule>
    <cfRule type="expression" dxfId="17123" priority="49163">
      <formula>IF($B5="VOID",TRUE,FALSE)</formula>
    </cfRule>
    <cfRule type="expression" dxfId="17122" priority="49164">
      <formula>IF($B5="VOID",TRUE,FALSE)</formula>
    </cfRule>
    <cfRule type="expression" dxfId="17121" priority="49165">
      <formula>IF($B5="VOID",TRUE,FALSE)</formula>
    </cfRule>
    <cfRule type="expression" dxfId="17120" priority="49166">
      <formula>IF($B5="VOID",TRUE,FALSE)</formula>
    </cfRule>
    <cfRule type="expression" dxfId="17119" priority="49167">
      <formula>IF($B5="VOID",TRUE,FALSE)</formula>
    </cfRule>
    <cfRule type="expression" dxfId="17118" priority="49168">
      <formula>IF($B5="VOID",TRUE,FALSE)</formula>
    </cfRule>
    <cfRule type="expression" dxfId="17117" priority="49169">
      <formula>IF($B5="VOID",TRUE,FALSE)</formula>
    </cfRule>
    <cfRule type="expression" dxfId="17116" priority="49170">
      <formula>IF($B5="VOID",TRUE,FALSE)</formula>
    </cfRule>
    <cfRule type="expression" dxfId="17115" priority="49171">
      <formula>IF($B5="VOID",TRUE,FALSE)</formula>
    </cfRule>
    <cfRule type="expression" dxfId="17114" priority="49172">
      <formula>IF($B5="VOID",TRUE,FALSE)</formula>
    </cfRule>
    <cfRule type="expression" dxfId="17113" priority="49173">
      <formula>IF($B5="VOID",TRUE,FALSE)</formula>
    </cfRule>
    <cfRule type="expression" dxfId="17112" priority="49174">
      <formula>IF($B5="Quoting",TRUE,FALSE)</formula>
    </cfRule>
    <cfRule type="expression" dxfId="17111" priority="49175">
      <formula>IF($B5="Quoting",TRUE,FALSE)</formula>
    </cfRule>
    <cfRule type="expression" dxfId="17110" priority="49176">
      <formula>IF($B5="Quoting",TRUE,FALSE)</formula>
    </cfRule>
    <cfRule type="expression" dxfId="17109" priority="49177">
      <formula>IF($B5="VOID",TRUE,FALSE)</formula>
    </cfRule>
    <cfRule type="expression" dxfId="17108" priority="49178">
      <formula>IF($B5="VOID",TRUE,FALSE)</formula>
    </cfRule>
    <cfRule type="expression" dxfId="17107" priority="49179">
      <formula>IF($B5="Quoting",TRUE,FALSE)</formula>
    </cfRule>
    <cfRule type="expression" dxfId="17106" priority="49180">
      <formula>IF($B5="VOID",TRUE,FALSE)</formula>
    </cfRule>
    <cfRule type="expression" dxfId="17105" priority="49181">
      <formula>IF($B5="VOID",TRUE,FALSE)</formula>
    </cfRule>
    <cfRule type="expression" dxfId="17104" priority="49182">
      <formula>IF($B5="VOID",TRUE,FALSE)</formula>
    </cfRule>
    <cfRule type="expression" dxfId="17103" priority="49183">
      <formula>IF($B5="Quoting",TRUE,FALSE)</formula>
    </cfRule>
    <cfRule type="expression" dxfId="17102" priority="49184">
      <formula>IF($B5="Quoting",TRUE,FALSE)</formula>
    </cfRule>
    <cfRule type="expression" dxfId="17101" priority="49185">
      <formula>IF($B5="Quoting",TRUE,FALSE)</formula>
    </cfRule>
    <cfRule type="expression" dxfId="17100" priority="49186">
      <formula>IF($B5="Quoting",TRUE,FALSE)</formula>
    </cfRule>
    <cfRule type="expression" dxfId="17099" priority="49187">
      <formula>IF($B5="Quoting",TRUE,FALSE)</formula>
    </cfRule>
    <cfRule type="expression" dxfId="17098" priority="49188">
      <formula>IF($B5="VOID",TRUE,FALSE)</formula>
    </cfRule>
    <cfRule type="expression" dxfId="17097" priority="49189">
      <formula>IF($B5="VOID",TRUE,FALSE)</formula>
    </cfRule>
    <cfRule type="expression" dxfId="17096" priority="49190">
      <formula>IF($B5="Quoting",TRUE,FALSE)</formula>
    </cfRule>
    <cfRule type="expression" dxfId="17095" priority="49191">
      <formula>IF($B5="Quoting",TRUE,FALSE)</formula>
    </cfRule>
    <cfRule type="expression" dxfId="17094" priority="49192">
      <formula>IF($B5="VOID",TRUE,FALSE)</formula>
    </cfRule>
    <cfRule type="expression" dxfId="17093" priority="49193">
      <formula>IF($B5="Quoting",TRUE,FALSE)</formula>
    </cfRule>
    <cfRule type="expression" dxfId="17092" priority="49194">
      <formula>IF($B5="VOID",TRUE,FALSE)</formula>
    </cfRule>
    <cfRule type="expression" dxfId="17091" priority="49195">
      <formula>IF($B5="Quoting",TRUE,FALSE)</formula>
    </cfRule>
    <cfRule type="expression" dxfId="17090" priority="49196">
      <formula>IF($B5="Quoting",TRUE,FALSE)</formula>
    </cfRule>
    <cfRule type="expression" dxfId="17089" priority="49197">
      <formula>IF($B5="Quoting",TRUE,FALSE)</formula>
    </cfRule>
    <cfRule type="expression" dxfId="17088" priority="49198">
      <formula>IF($B5="VOID",TRUE,FALSE)</formula>
    </cfRule>
    <cfRule type="expression" dxfId="17087" priority="49199">
      <formula>IF($B5="VOID",TRUE,FALSE)</formula>
    </cfRule>
    <cfRule type="expression" dxfId="17086" priority="49200">
      <formula>IF($B5="VOID",TRUE,FALSE)</formula>
    </cfRule>
    <cfRule type="expression" dxfId="17085" priority="49201">
      <formula>IF($B5="VOID",TRUE,FALSE)</formula>
    </cfRule>
    <cfRule type="expression" dxfId="17084" priority="49202">
      <formula>IF($B5="Quoting",TRUE,FALSE)</formula>
    </cfRule>
    <cfRule type="expression" dxfId="17083" priority="49203">
      <formula>IF($B5="Quoting",TRUE,FALSE)</formula>
    </cfRule>
    <cfRule type="expression" dxfId="17082" priority="49204">
      <formula>IF($B5="Quoting",TRUE,FALSE)</formula>
    </cfRule>
    <cfRule type="expression" dxfId="17081" priority="49205">
      <formula>IF($B5="Quoting",TRUE,FALSE)</formula>
    </cfRule>
    <cfRule type="expression" dxfId="17080" priority="49206">
      <formula>IF($B5="Quoting",TRUE,FALSE)</formula>
    </cfRule>
    <cfRule type="expression" dxfId="17079" priority="49207">
      <formula>IF($B5="VOID",TRUE,FALSE)</formula>
    </cfRule>
    <cfRule type="expression" dxfId="17078" priority="49208">
      <formula>IF($B5="VOID",TRUE,FALSE)</formula>
    </cfRule>
    <cfRule type="expression" dxfId="17077" priority="49209">
      <formula>IF($B5="Quoting",TRUE,FALSE)</formula>
    </cfRule>
    <cfRule type="expression" dxfId="17076" priority="49210">
      <formula>IF($B5="Quoting",TRUE,FALSE)</formula>
    </cfRule>
    <cfRule type="expression" dxfId="17075" priority="49211">
      <formula>IF($B5="Quoting",TRUE,FALSE)</formula>
    </cfRule>
    <cfRule type="expression" dxfId="17074" priority="49212">
      <formula>IF($B5="Quoting",TRUE,FALSE)</formula>
    </cfRule>
    <cfRule type="expression" dxfId="17073" priority="49213">
      <formula>IF($B5="Quoting",TRUE,FALSE)</formula>
    </cfRule>
    <cfRule type="expression" dxfId="17072" priority="49214">
      <formula>IF($B5="VOID",TRUE,FALSE)</formula>
    </cfRule>
    <cfRule type="expression" dxfId="17071" priority="49215">
      <formula>IF($B5="VOID",TRUE,FALSE)</formula>
    </cfRule>
    <cfRule type="expression" dxfId="17070" priority="49216">
      <formula>IF($B5="VOID",TRUE,FALSE)</formula>
    </cfRule>
    <cfRule type="expression" dxfId="17069" priority="49217">
      <formula>IF($B5="VOID",TRUE,FALSE)</formula>
    </cfRule>
    <cfRule type="expression" dxfId="17068" priority="49218">
      <formula>IF($B5="VOID",TRUE,FALSE)</formula>
    </cfRule>
    <cfRule type="expression" dxfId="17067" priority="49219">
      <formula>IF($B5="VOID",TRUE,FALSE)</formula>
    </cfRule>
    <cfRule type="expression" dxfId="17066" priority="49220">
      <formula>IF($B5="VOID",TRUE,FALSE)</formula>
    </cfRule>
    <cfRule type="expression" dxfId="17065" priority="49221">
      <formula>IF($B5="VOID",TRUE,FALSE)</formula>
    </cfRule>
    <cfRule type="expression" dxfId="17064" priority="49222">
      <formula>IF($B5="VOID",TRUE,FALSE)</formula>
    </cfRule>
    <cfRule type="expression" dxfId="17063" priority="49223">
      <formula>IF($B5="VOID",TRUE,FALSE)</formula>
    </cfRule>
    <cfRule type="expression" dxfId="17062" priority="49224">
      <formula>IF($B5="VOID",TRUE,FALSE)</formula>
    </cfRule>
    <cfRule type="expression" dxfId="17061" priority="49225">
      <formula>IF($B5="VOID",TRUE,FALSE)</formula>
    </cfRule>
    <cfRule type="expression" dxfId="17060" priority="49226">
      <formula>IF($B5="VOID",TRUE,FALSE)</formula>
    </cfRule>
    <cfRule type="expression" dxfId="17059" priority="49227">
      <formula>IF($B5="VOID",TRUE,FALSE)</formula>
    </cfRule>
    <cfRule type="expression" dxfId="17058" priority="49228">
      <formula>IF($B5="VOID",TRUE,FALSE)</formula>
    </cfRule>
    <cfRule type="expression" dxfId="17057" priority="49229">
      <formula>IF($B5="VOID",TRUE,FALSE)</formula>
    </cfRule>
    <cfRule type="expression" dxfId="17056" priority="49230">
      <formula>IF($B5="VOID",TRUE,FALSE)</formula>
    </cfRule>
    <cfRule type="expression" dxfId="17055" priority="49231">
      <formula>IF($B5="VOID",TRUE,FALSE)</formula>
    </cfRule>
    <cfRule type="expression" dxfId="17054" priority="49232">
      <formula>IF($B5="VOID",TRUE,FALSE)</formula>
    </cfRule>
    <cfRule type="expression" dxfId="17053" priority="49233">
      <formula>IF($B5="VOID",TRUE,FALSE)</formula>
    </cfRule>
    <cfRule type="expression" dxfId="17052" priority="49234">
      <formula>IF($B5="VOID",TRUE,FALSE)</formula>
    </cfRule>
    <cfRule type="expression" dxfId="17051" priority="49235">
      <formula>IF($B5="VOID",TRUE,FALSE)</formula>
    </cfRule>
    <cfRule type="expression" dxfId="17050" priority="49236">
      <formula>IF($B5="VOID",TRUE,FALSE)</formula>
    </cfRule>
    <cfRule type="expression" dxfId="17049" priority="49237">
      <formula>IF($B5="VOID",TRUE,FALSE)</formula>
    </cfRule>
    <cfRule type="expression" dxfId="17048" priority="49238">
      <formula>IF($B5="VOID",TRUE,FALSE)</formula>
    </cfRule>
    <cfRule type="expression" dxfId="17047" priority="49239">
      <formula>IF($B5="VOID",TRUE,FALSE)</formula>
    </cfRule>
    <cfRule type="expression" dxfId="17046" priority="49240">
      <formula>IF($B5="VOID",TRUE,FALSE)</formula>
    </cfRule>
    <cfRule type="expression" dxfId="17045" priority="49241">
      <formula>IF($B5="VOID",TRUE,FALSE)</formula>
    </cfRule>
    <cfRule type="expression" dxfId="17044" priority="49242">
      <formula>IF($B5="VOID",TRUE,FALSE)</formula>
    </cfRule>
    <cfRule type="expression" dxfId="17043" priority="49243">
      <formula>IF($B5="VOID",TRUE,FALSE)</formula>
    </cfRule>
    <cfRule type="expression" dxfId="17042" priority="49244">
      <formula>IF($B5="Quoting",TRUE,FALSE)</formula>
    </cfRule>
    <cfRule type="expression" dxfId="17041" priority="49245">
      <formula>IF($B5="Quoting",TRUE,FALSE)</formula>
    </cfRule>
    <cfRule type="expression" dxfId="17040" priority="49246">
      <formula>IF($B5="Quoting",TRUE,FALSE)</formula>
    </cfRule>
    <cfRule type="expression" dxfId="17039" priority="49247">
      <formula>IF($B5="VOID",TRUE,FALSE)</formula>
    </cfRule>
    <cfRule type="expression" dxfId="17038" priority="49248">
      <formula>IF($B5="VOID",TRUE,FALSE)</formula>
    </cfRule>
    <cfRule type="expression" dxfId="17037" priority="49249">
      <formula>IF($B5="Quoting",TRUE,FALSE)</formula>
    </cfRule>
    <cfRule type="expression" dxfId="17036" priority="49250">
      <formula>IF($B5="VOID",TRUE,FALSE)</formula>
    </cfRule>
    <cfRule type="expression" dxfId="17035" priority="49251">
      <formula>IF($B5="VOID",TRUE,FALSE)</formula>
    </cfRule>
    <cfRule type="expression" dxfId="17034" priority="49252">
      <formula>IF($B5="VOID",TRUE,FALSE)</formula>
    </cfRule>
    <cfRule type="expression" dxfId="17033" priority="49253">
      <formula>IF($B5="Quoting",TRUE,FALSE)</formula>
    </cfRule>
    <cfRule type="expression" dxfId="17032" priority="49254">
      <formula>IF($B5="Quoting",TRUE,FALSE)</formula>
    </cfRule>
    <cfRule type="expression" dxfId="17031" priority="49255">
      <formula>IF($B5="Quoting",TRUE,FALSE)</formula>
    </cfRule>
    <cfRule type="expression" dxfId="17030" priority="49256">
      <formula>IF($B5="Quoting",TRUE,FALSE)</formula>
    </cfRule>
    <cfRule type="expression" dxfId="17029" priority="49257">
      <formula>IF($B5="Quoting",TRUE,FALSE)</formula>
    </cfRule>
    <cfRule type="expression" dxfId="17028" priority="49258">
      <formula>IF($B5="VOID",TRUE,FALSE)</formula>
    </cfRule>
    <cfRule type="expression" dxfId="17027" priority="49259">
      <formula>IF($B5="VOID",TRUE,FALSE)</formula>
    </cfRule>
    <cfRule type="expression" dxfId="17026" priority="49260">
      <formula>IF($B5="Quoting",TRUE,FALSE)</formula>
    </cfRule>
    <cfRule type="expression" dxfId="17025" priority="49261">
      <formula>IF($B5="Quoting",TRUE,FALSE)</formula>
    </cfRule>
    <cfRule type="expression" dxfId="17024" priority="49262">
      <formula>IF($B5="VOID",TRUE,FALSE)</formula>
    </cfRule>
    <cfRule type="expression" dxfId="17023" priority="49263">
      <formula>IF($B5="Quoting",TRUE,FALSE)</formula>
    </cfRule>
    <cfRule type="expression" dxfId="17022" priority="49264">
      <formula>IF($B5="VOID",TRUE,FALSE)</formula>
    </cfRule>
    <cfRule type="expression" dxfId="17021" priority="49265">
      <formula>IF($B5="Quoting",TRUE,FALSE)</formula>
    </cfRule>
    <cfRule type="expression" dxfId="17020" priority="49266">
      <formula>IF($B5="Quoting",TRUE,FALSE)</formula>
    </cfRule>
    <cfRule type="expression" dxfId="17019" priority="49267">
      <formula>IF($B5="Quoting",TRUE,FALSE)</formula>
    </cfRule>
    <cfRule type="expression" dxfId="17018" priority="49268">
      <formula>IF($B5="VOID",TRUE,FALSE)</formula>
    </cfRule>
    <cfRule type="expression" dxfId="17017" priority="49269">
      <formula>IF($B5="VOID",TRUE,FALSE)</formula>
    </cfRule>
    <cfRule type="expression" dxfId="17016" priority="49270">
      <formula>IF($B5="VOID",TRUE,FALSE)</formula>
    </cfRule>
    <cfRule type="expression" dxfId="17015" priority="49271">
      <formula>IF($B5="VOID",TRUE,FALSE)</formula>
    </cfRule>
    <cfRule type="expression" dxfId="17014" priority="49272">
      <formula>IF($B5="Quoting",TRUE,FALSE)</formula>
    </cfRule>
    <cfRule type="expression" dxfId="17013" priority="49273">
      <formula>IF($B5="Quoting",TRUE,FALSE)</formula>
    </cfRule>
    <cfRule type="expression" dxfId="17012" priority="49274">
      <formula>IF($B5="Quoting",TRUE,FALSE)</formula>
    </cfRule>
    <cfRule type="expression" dxfId="17011" priority="49275">
      <formula>IF($B5="Quoting",TRUE,FALSE)</formula>
    </cfRule>
    <cfRule type="expression" dxfId="17010" priority="49276">
      <formula>IF($B5="Quoting",TRUE,FALSE)</formula>
    </cfRule>
    <cfRule type="expression" dxfId="17009" priority="49277">
      <formula>IF($B5="VOID",TRUE,FALSE)</formula>
    </cfRule>
    <cfRule type="expression" dxfId="17008" priority="49278">
      <formula>IF($B5="VOID",TRUE,FALSE)</formula>
    </cfRule>
    <cfRule type="expression" dxfId="17007" priority="49279">
      <formula>IF($B5="Quoting",TRUE,FALSE)</formula>
    </cfRule>
    <cfRule type="expression" dxfId="17006" priority="49280">
      <formula>IF($B5="Quoting",TRUE,FALSE)</formula>
    </cfRule>
    <cfRule type="expression" dxfId="17005" priority="49281">
      <formula>IF($B5="Quoting",TRUE,FALSE)</formula>
    </cfRule>
    <cfRule type="expression" dxfId="17004" priority="49282">
      <formula>IF($B5="Quoting",TRUE,FALSE)</formula>
    </cfRule>
    <cfRule type="expression" dxfId="17003" priority="49283">
      <formula>IF($B5="Quoting",TRUE,FALSE)</formula>
    </cfRule>
    <cfRule type="expression" dxfId="17002" priority="49284">
      <formula>IF($B5="VOID",TRUE,FALSE)</formula>
    </cfRule>
    <cfRule type="expression" dxfId="17001" priority="49285">
      <formula>IF($B5="VOID",TRUE,FALSE)</formula>
    </cfRule>
    <cfRule type="expression" dxfId="17000" priority="49286">
      <formula>IF($B5="VOID",TRUE,FALSE)</formula>
    </cfRule>
    <cfRule type="expression" dxfId="16999" priority="49287">
      <formula>IF($B5="VOID",TRUE,FALSE)</formula>
    </cfRule>
    <cfRule type="expression" dxfId="16998" priority="49288">
      <formula>IF($B5="VOID",TRUE,FALSE)</formula>
    </cfRule>
    <cfRule type="expression" dxfId="16997" priority="49289">
      <formula>IF($B5="VOID",TRUE,FALSE)</formula>
    </cfRule>
    <cfRule type="expression" dxfId="16996" priority="49290">
      <formula>IF($B5="VOID",TRUE,FALSE)</formula>
    </cfRule>
    <cfRule type="expression" dxfId="16995" priority="49291">
      <formula>IF($B5="VOID",TRUE,FALSE)</formula>
    </cfRule>
    <cfRule type="expression" dxfId="16994" priority="49292">
      <formula>IF($B5="VOID",TRUE,FALSE)</formula>
    </cfRule>
    <cfRule type="expression" dxfId="16993" priority="49293">
      <formula>IF($B5="Quoting",TRUE,FALSE)</formula>
    </cfRule>
  </conditionalFormatting>
  <conditionalFormatting sqref="E5:E10">
    <cfRule type="expression" dxfId="16992" priority="51840">
      <formula>IF($B5="VOID",TRUE,FALSE)</formula>
    </cfRule>
    <cfRule type="expression" dxfId="16991" priority="51841">
      <formula>IF($B5="VOID",TRUE,FALSE)</formula>
    </cfRule>
    <cfRule type="expression" dxfId="16990" priority="51842">
      <formula>IF($B5="VOID",TRUE,FALSE)</formula>
    </cfRule>
    <cfRule type="expression" dxfId="16989" priority="51843">
      <formula>IF($B5="VOID",TRUE,FALSE)</formula>
    </cfRule>
    <cfRule type="expression" dxfId="16988" priority="51844">
      <formula>IF($B5="VOID",TRUE,FALSE)</formula>
    </cfRule>
    <cfRule type="expression" dxfId="16987" priority="51845">
      <formula>IF($B5="VOID",TRUE,FALSE)</formula>
    </cfRule>
    <cfRule type="expression" dxfId="16986" priority="51846">
      <formula>IF($B5="VOID",TRUE,FALSE)</formula>
    </cfRule>
    <cfRule type="expression" dxfId="16985" priority="51847">
      <formula>IF($B5="VOID",TRUE,FALSE)</formula>
    </cfRule>
    <cfRule type="expression" dxfId="16984" priority="51871">
      <formula>IF($B5="VOID",TRUE,FALSE)</formula>
    </cfRule>
    <cfRule type="expression" dxfId="16983" priority="51872">
      <formula>IF($B5="VOID",TRUE,FALSE)</formula>
    </cfRule>
    <cfRule type="expression" dxfId="16982" priority="51873">
      <formula>IF($B5="VOID",TRUE,FALSE)</formula>
    </cfRule>
    <cfRule type="expression" dxfId="16981" priority="51874">
      <formula>IF($B5="VOID",TRUE,FALSE)</formula>
    </cfRule>
    <cfRule type="expression" dxfId="16980" priority="51875">
      <formula>IF($B5="VOID",TRUE,FALSE)</formula>
    </cfRule>
    <cfRule type="expression" dxfId="16979" priority="51876">
      <formula>IF($B5="VOID",TRUE,FALSE)</formula>
    </cfRule>
    <cfRule type="expression" dxfId="16978" priority="51877">
      <formula>IF($B5="VOID",TRUE,FALSE)</formula>
    </cfRule>
    <cfRule type="expression" dxfId="16977" priority="51878">
      <formula>IF($B5="VOID",TRUE,FALSE)</formula>
    </cfRule>
    <cfRule type="expression" dxfId="16976" priority="51879">
      <formula>IF($B5="VOID",TRUE,FALSE)</formula>
    </cfRule>
    <cfRule type="expression" dxfId="16975" priority="51880">
      <formula>IF($B5="VOID",TRUE,FALSE)</formula>
    </cfRule>
    <cfRule type="expression" dxfId="16974" priority="51881">
      <formula>IF($B5="VOID",TRUE,FALSE)</formula>
    </cfRule>
    <cfRule type="expression" dxfId="16973" priority="51882">
      <formula>IF($B5="VOID",TRUE,FALSE)</formula>
    </cfRule>
    <cfRule type="expression" dxfId="16972" priority="51883">
      <formula>IF($B5="Quoting",TRUE,FALSE)</formula>
    </cfRule>
    <cfRule type="expression" dxfId="16971" priority="51884">
      <formula>IF($B5="Quoting",TRUE,FALSE)</formula>
    </cfRule>
    <cfRule type="expression" dxfId="16970" priority="51885">
      <formula>IF($B5="Quoting",TRUE,FALSE)</formula>
    </cfRule>
    <cfRule type="expression" dxfId="16969" priority="51886">
      <formula>IF($B5="VOID",TRUE,FALSE)</formula>
    </cfRule>
    <cfRule type="expression" dxfId="16968" priority="51887">
      <formula>IF($B5="VOID",TRUE,FALSE)</formula>
    </cfRule>
    <cfRule type="expression" dxfId="16967" priority="51888">
      <formula>IF($B5="Quoting",TRUE,FALSE)</formula>
    </cfRule>
    <cfRule type="expression" dxfId="16966" priority="51889">
      <formula>IF($B5="VOID",TRUE,FALSE)</formula>
    </cfRule>
    <cfRule type="expression" dxfId="16965" priority="51890">
      <formula>IF($B5="VOID",TRUE,FALSE)</formula>
    </cfRule>
    <cfRule type="expression" dxfId="16964" priority="51891">
      <formula>IF($B5="VOID",TRUE,FALSE)</formula>
    </cfRule>
    <cfRule type="expression" dxfId="16963" priority="51892">
      <formula>IF($B5="Quoting",TRUE,FALSE)</formula>
    </cfRule>
    <cfRule type="expression" dxfId="16962" priority="51893">
      <formula>IF($B5="Quoting",TRUE,FALSE)</formula>
    </cfRule>
    <cfRule type="expression" dxfId="16961" priority="51894">
      <formula>IF($B5="Quoting",TRUE,FALSE)</formula>
    </cfRule>
    <cfRule type="expression" dxfId="16960" priority="51895">
      <formula>IF($B5="Quoting",TRUE,FALSE)</formula>
    </cfRule>
    <cfRule type="expression" dxfId="16959" priority="51896">
      <formula>IF($B5="Quoting",TRUE,FALSE)</formula>
    </cfRule>
    <cfRule type="expression" dxfId="16958" priority="51897">
      <formula>IF($B5="VOID",TRUE,FALSE)</formula>
    </cfRule>
    <cfRule type="expression" dxfId="16957" priority="51898">
      <formula>IF($B5="VOID",TRUE,FALSE)</formula>
    </cfRule>
    <cfRule type="expression" dxfId="16956" priority="51899">
      <formula>IF($B5="Quoting",TRUE,FALSE)</formula>
    </cfRule>
    <cfRule type="expression" dxfId="16955" priority="51917">
      <formula>IF($B5="Quoting",TRUE,FALSE)</formula>
    </cfRule>
    <cfRule type="expression" dxfId="16954" priority="51919">
      <formula>IF($B5="VOID",TRUE,FALSE)</formula>
    </cfRule>
    <cfRule type="expression" dxfId="16953" priority="51920">
      <formula>IF($B5="Quoting",TRUE,FALSE)</formula>
    </cfRule>
    <cfRule type="expression" dxfId="16952" priority="51921">
      <formula>IF($B5="VOID",TRUE,FALSE)</formula>
    </cfRule>
    <cfRule type="expression" dxfId="16951" priority="51922">
      <formula>IF($B5="Quoting",TRUE,FALSE)</formula>
    </cfRule>
    <cfRule type="expression" dxfId="16950" priority="51924">
      <formula>IF($B5="Quoting",TRUE,FALSE)</formula>
    </cfRule>
    <cfRule type="expression" dxfId="16949" priority="51927">
      <formula>IF($B5="Quoting",TRUE,FALSE)</formula>
    </cfRule>
    <cfRule type="expression" dxfId="16948" priority="52041">
      <formula>IF($B5="VOID",TRUE,FALSE)</formula>
    </cfRule>
    <cfRule type="expression" dxfId="16947" priority="52042">
      <formula>IF($B5="VOID",TRUE,FALSE)</formula>
    </cfRule>
    <cfRule type="expression" dxfId="16946" priority="52043">
      <formula>IF($B5="VOID",TRUE,FALSE)</formula>
    </cfRule>
    <cfRule type="expression" dxfId="16945" priority="52044">
      <formula>IF($B5="VOID",TRUE,FALSE)</formula>
    </cfRule>
    <cfRule type="expression" dxfId="16944" priority="52045">
      <formula>IF($B5="Quoting",TRUE,FALSE)</formula>
    </cfRule>
    <cfRule type="expression" dxfId="16943" priority="52046">
      <formula>IF($B5="Quoting",TRUE,FALSE)</formula>
    </cfRule>
    <cfRule type="expression" dxfId="16942" priority="52047">
      <formula>IF($B5="Quoting",TRUE,FALSE)</formula>
    </cfRule>
    <cfRule type="expression" dxfId="16941" priority="52048">
      <formula>IF($B5="Quoting",TRUE,FALSE)</formula>
    </cfRule>
    <cfRule type="expression" dxfId="16940" priority="52049">
      <formula>IF($B5="Quoting",TRUE,FALSE)</formula>
    </cfRule>
    <cfRule type="expression" dxfId="16939" priority="52050">
      <formula>IF($B5="VOID",TRUE,FALSE)</formula>
    </cfRule>
    <cfRule type="expression" dxfId="16938" priority="52051">
      <formula>IF($B5="VOID",TRUE,FALSE)</formula>
    </cfRule>
    <cfRule type="expression" dxfId="16937" priority="52052">
      <formula>IF($B5="Quoting",TRUE,FALSE)</formula>
    </cfRule>
    <cfRule type="expression" dxfId="16936" priority="52053">
      <formula>IF($B5="Quoting",TRUE,FALSE)</formula>
    </cfRule>
    <cfRule type="expression" dxfId="16935" priority="52054">
      <formula>IF($B5="Quoting",TRUE,FALSE)</formula>
    </cfRule>
    <cfRule type="expression" dxfId="16934" priority="52055">
      <formula>IF($B5="Quoting",TRUE,FALSE)</formula>
    </cfRule>
    <cfRule type="expression" dxfId="16933" priority="52056">
      <formula>IF($B5="Quoting",TRUE,FALSE)</formula>
    </cfRule>
    <cfRule type="expression" dxfId="16932" priority="52057">
      <formula>IF($B5="VOID",TRUE,FALSE)</formula>
    </cfRule>
    <cfRule type="expression" dxfId="16931" priority="52129">
      <formula>IF($B5="VOID",TRUE,FALSE)</formula>
    </cfRule>
    <cfRule type="expression" dxfId="16930" priority="52130">
      <formula>IF($B5="VOID",TRUE,FALSE)</formula>
    </cfRule>
    <cfRule type="expression" dxfId="16929" priority="52131">
      <formula>IF($B5="VOID",TRUE,FALSE)</formula>
    </cfRule>
    <cfRule type="expression" dxfId="16928" priority="52132">
      <formula>IF($B5="VOID",TRUE,FALSE)</formula>
    </cfRule>
    <cfRule type="expression" dxfId="16927" priority="52133">
      <formula>IF($B5="VOID",TRUE,FALSE)</formula>
    </cfRule>
    <cfRule type="expression" dxfId="16926" priority="52134">
      <formula>IF($B5="VOID",TRUE,FALSE)</formula>
    </cfRule>
    <cfRule type="expression" dxfId="16925" priority="52135">
      <formula>IF($B5="VOID",TRUE,FALSE)</formula>
    </cfRule>
    <cfRule type="expression" dxfId="16924" priority="52136">
      <formula>IF($B5="VOID",TRUE,FALSE)</formula>
    </cfRule>
    <cfRule type="expression" dxfId="16923" priority="52137">
      <formula>IF($B5="VOID",TRUE,FALSE)</formula>
    </cfRule>
    <cfRule type="expression" dxfId="16922" priority="52138">
      <formula>IF($B5="VOID",TRUE,FALSE)</formula>
    </cfRule>
    <cfRule type="expression" dxfId="16921" priority="52139">
      <formula>IF($B5="VOID",TRUE,FALSE)</formula>
    </cfRule>
    <cfRule type="expression" dxfId="16920" priority="52140">
      <formula>IF($B5="VOID",TRUE,FALSE)</formula>
    </cfRule>
    <cfRule type="expression" dxfId="16919" priority="52141">
      <formula>IF($B5="VOID",TRUE,FALSE)</formula>
    </cfRule>
    <cfRule type="expression" dxfId="16918" priority="52142">
      <formula>IF($B5="VOID",TRUE,FALSE)</formula>
    </cfRule>
    <cfRule type="expression" dxfId="16917" priority="52143">
      <formula>IF($B5="VOID",TRUE,FALSE)</formula>
    </cfRule>
    <cfRule type="expression" dxfId="16916" priority="52144">
      <formula>IF($B5="VOID",TRUE,FALSE)</formula>
    </cfRule>
    <cfRule type="expression" dxfId="16915" priority="52145">
      <formula>IF($B5="VOID",TRUE,FALSE)</formula>
    </cfRule>
    <cfRule type="expression" dxfId="16914" priority="52146">
      <formula>IF($B5="VOID",TRUE,FALSE)</formula>
    </cfRule>
    <cfRule type="expression" dxfId="16913" priority="52147">
      <formula>IF($B5="VOID",TRUE,FALSE)</formula>
    </cfRule>
    <cfRule type="expression" dxfId="16912" priority="52148">
      <formula>IF($B5="VOID",TRUE,FALSE)</formula>
    </cfRule>
    <cfRule type="expression" dxfId="16911" priority="52149">
      <formula>IF($B5="VOID",TRUE,FALSE)</formula>
    </cfRule>
    <cfRule type="expression" dxfId="16910" priority="52150">
      <formula>IF($B5="VOID",TRUE,FALSE)</formula>
    </cfRule>
    <cfRule type="expression" dxfId="16909" priority="52151">
      <formula>IF($B5="VOID",TRUE,FALSE)</formula>
    </cfRule>
    <cfRule type="expression" dxfId="16908" priority="52152">
      <formula>IF($B5="VOID",TRUE,FALSE)</formula>
    </cfRule>
    <cfRule type="expression" dxfId="16907" priority="52153">
      <formula>IF($B5="VOID",TRUE,FALSE)</formula>
    </cfRule>
    <cfRule type="expression" dxfId="16906" priority="52154">
      <formula>IF($B5="VOID",TRUE,FALSE)</formula>
    </cfRule>
    <cfRule type="expression" dxfId="16905" priority="52155">
      <formula>IF($B5="VOID",TRUE,FALSE)</formula>
    </cfRule>
    <cfRule type="expression" dxfId="16904" priority="52156">
      <formula>IF($B5="VOID",TRUE,FALSE)</formula>
    </cfRule>
    <cfRule type="expression" dxfId="16903" priority="52157">
      <formula>IF($B5="VOID",TRUE,FALSE)</formula>
    </cfRule>
    <cfRule type="expression" dxfId="16902" priority="52158">
      <formula>IF($B5="Quoting",TRUE,FALSE)</formula>
    </cfRule>
    <cfRule type="expression" dxfId="16901" priority="52159">
      <formula>IF($B5="Quoting",TRUE,FALSE)</formula>
    </cfRule>
    <cfRule type="expression" dxfId="16900" priority="52160">
      <formula>IF($B5="Quoting",TRUE,FALSE)</formula>
    </cfRule>
    <cfRule type="expression" dxfId="16899" priority="52161">
      <formula>IF($B5="VOID",TRUE,FALSE)</formula>
    </cfRule>
    <cfRule type="expression" dxfId="16898" priority="52162">
      <formula>IF($B5="VOID",TRUE,FALSE)</formula>
    </cfRule>
    <cfRule type="expression" dxfId="16897" priority="52163">
      <formula>IF($B5="Quoting",TRUE,FALSE)</formula>
    </cfRule>
    <cfRule type="expression" dxfId="16896" priority="52164">
      <formula>IF($B5="VOID",TRUE,FALSE)</formula>
    </cfRule>
    <cfRule type="expression" dxfId="16895" priority="52165">
      <formula>IF($B5="VOID",TRUE,FALSE)</formula>
    </cfRule>
    <cfRule type="expression" dxfId="16894" priority="52166">
      <formula>IF($B5="VOID",TRUE,FALSE)</formula>
    </cfRule>
    <cfRule type="expression" dxfId="16893" priority="52167">
      <formula>IF($B5="Quoting",TRUE,FALSE)</formula>
    </cfRule>
    <cfRule type="expression" dxfId="16892" priority="52168">
      <formula>IF($B5="Quoting",TRUE,FALSE)</formula>
    </cfRule>
    <cfRule type="expression" dxfId="16891" priority="52169">
      <formula>IF($B5="Quoting",TRUE,FALSE)</formula>
    </cfRule>
    <cfRule type="expression" dxfId="16890" priority="52170">
      <formula>IF($B5="Quoting",TRUE,FALSE)</formula>
    </cfRule>
    <cfRule type="expression" dxfId="16889" priority="52171">
      <formula>IF($B5="Quoting",TRUE,FALSE)</formula>
    </cfRule>
    <cfRule type="expression" dxfId="16888" priority="52172">
      <formula>IF($B5="VOID",TRUE,FALSE)</formula>
    </cfRule>
    <cfRule type="expression" dxfId="16887" priority="52173">
      <formula>IF($B5="VOID",TRUE,FALSE)</formula>
    </cfRule>
    <cfRule type="expression" dxfId="16886" priority="52174">
      <formula>IF($B5="Quoting",TRUE,FALSE)</formula>
    </cfRule>
    <cfRule type="expression" dxfId="16885" priority="52175">
      <formula>IF($B5="Quoting",TRUE,FALSE)</formula>
    </cfRule>
    <cfRule type="expression" dxfId="16884" priority="52176">
      <formula>IF($B5="VOID",TRUE,FALSE)</formula>
    </cfRule>
    <cfRule type="expression" dxfId="16883" priority="52177">
      <formula>IF($B5="Quoting",TRUE,FALSE)</formula>
    </cfRule>
    <cfRule type="expression" dxfId="16882" priority="52178">
      <formula>IF($B5="VOID",TRUE,FALSE)</formula>
    </cfRule>
    <cfRule type="expression" dxfId="16881" priority="52179">
      <formula>IF($B5="Quoting",TRUE,FALSE)</formula>
    </cfRule>
    <cfRule type="expression" dxfId="16880" priority="52180">
      <formula>IF($B5="Quoting",TRUE,FALSE)</formula>
    </cfRule>
    <cfRule type="expression" dxfId="16879" priority="52181">
      <formula>IF($B5="Quoting",TRUE,FALSE)</formula>
    </cfRule>
    <cfRule type="expression" dxfId="16878" priority="52182">
      <formula>IF($B5="VOID",TRUE,FALSE)</formula>
    </cfRule>
    <cfRule type="expression" dxfId="16877" priority="52183">
      <formula>IF($B5="VOID",TRUE,FALSE)</formula>
    </cfRule>
    <cfRule type="expression" dxfId="16876" priority="52184">
      <formula>IF($B5="VOID",TRUE,FALSE)</formula>
    </cfRule>
    <cfRule type="expression" dxfId="16875" priority="52185">
      <formula>IF($B5="VOID",TRUE,FALSE)</formula>
    </cfRule>
    <cfRule type="expression" dxfId="16874" priority="52186">
      <formula>IF($B5="Quoting",TRUE,FALSE)</formula>
    </cfRule>
    <cfRule type="expression" dxfId="16873" priority="52187">
      <formula>IF($B5="Quoting",TRUE,FALSE)</formula>
    </cfRule>
    <cfRule type="expression" dxfId="16872" priority="52188">
      <formula>IF($B5="Quoting",TRUE,FALSE)</formula>
    </cfRule>
    <cfRule type="expression" dxfId="16871" priority="52189">
      <formula>IF($B5="Quoting",TRUE,FALSE)</formula>
    </cfRule>
    <cfRule type="expression" dxfId="16870" priority="52190">
      <formula>IF($B5="Quoting",TRUE,FALSE)</formula>
    </cfRule>
    <cfRule type="expression" dxfId="16869" priority="52191">
      <formula>IF($B5="VOID",TRUE,FALSE)</formula>
    </cfRule>
    <cfRule type="expression" dxfId="16868" priority="52192">
      <formula>IF($B5="VOID",TRUE,FALSE)</formula>
    </cfRule>
    <cfRule type="expression" dxfId="16867" priority="52193">
      <formula>IF($B5="Quoting",TRUE,FALSE)</formula>
    </cfRule>
    <cfRule type="expression" dxfId="16866" priority="52194">
      <formula>IF($B5="Quoting",TRUE,FALSE)</formula>
    </cfRule>
    <cfRule type="expression" dxfId="16865" priority="52195">
      <formula>IF($B5="Quoting",TRUE,FALSE)</formula>
    </cfRule>
    <cfRule type="expression" dxfId="16864" priority="52196">
      <formula>IF($B5="Quoting",TRUE,FALSE)</formula>
    </cfRule>
    <cfRule type="expression" dxfId="16863" priority="52197">
      <formula>IF($B5="Quoting",TRUE,FALSE)</formula>
    </cfRule>
    <cfRule type="expression" dxfId="16862" priority="52198">
      <formula>IF($B5="VOID",TRUE,FALSE)</formula>
    </cfRule>
    <cfRule type="expression" dxfId="16861" priority="52199">
      <formula>IF($B5="VOID",TRUE,FALSE)</formula>
    </cfRule>
    <cfRule type="expression" dxfId="16860" priority="52200">
      <formula>IF($B5="VOID",TRUE,FALSE)</formula>
    </cfRule>
    <cfRule type="expression" dxfId="16859" priority="52201">
      <formula>IF($B5="VOID",TRUE,FALSE)</formula>
    </cfRule>
    <cfRule type="expression" dxfId="16858" priority="52202">
      <formula>IF($B5="VOID",TRUE,FALSE)</formula>
    </cfRule>
    <cfRule type="expression" dxfId="16857" priority="52203">
      <formula>IF($B5="VOID",TRUE,FALSE)</formula>
    </cfRule>
    <cfRule type="expression" dxfId="16856" priority="52204">
      <formula>IF($B5="VOID",TRUE,FALSE)</formula>
    </cfRule>
    <cfRule type="expression" dxfId="16855" priority="52205">
      <formula>IF($B5="VOID",TRUE,FALSE)</formula>
    </cfRule>
    <cfRule type="expression" dxfId="16854" priority="52206">
      <formula>IF($B5="VOID",TRUE,FALSE)</formula>
    </cfRule>
    <cfRule type="expression" dxfId="16853" priority="52208">
      <formula>IF($B5="Quoting",TRUE,FALSE)</formula>
    </cfRule>
  </conditionalFormatting>
  <conditionalFormatting sqref="E6">
    <cfRule type="expression" dxfId="16852" priority="51675">
      <formula>IF($B6="Quoting",TRUE,FALSE)</formula>
    </cfRule>
    <cfRule type="expression" dxfId="16851" priority="51676">
      <formula>IF($B6="Quoting",TRUE,FALSE)</formula>
    </cfRule>
    <cfRule type="expression" dxfId="16850" priority="51677">
      <formula>IF($B6="Quoting",TRUE,FALSE)</formula>
    </cfRule>
    <cfRule type="expression" dxfId="16849" priority="51678">
      <formula>IF($B6="Quoting",TRUE,FALSE)</formula>
    </cfRule>
    <cfRule type="expression" dxfId="16848" priority="51679">
      <formula>IF($B6="Quoting",TRUE,FALSE)</formula>
    </cfRule>
    <cfRule type="expression" dxfId="16847" priority="51680">
      <formula>IF($B6="Quoting",TRUE,FALSE)</formula>
    </cfRule>
    <cfRule type="expression" dxfId="16846" priority="51681">
      <formula>IF($B6="Quoting",TRUE,FALSE)</formula>
    </cfRule>
    <cfRule type="expression" dxfId="16845" priority="51682">
      <formula>IF($B6="Quoting",TRUE,FALSE)</formula>
    </cfRule>
    <cfRule type="expression" dxfId="16844" priority="51683">
      <formula>IF($B6="Quoting",TRUE,FALSE)</formula>
    </cfRule>
    <cfRule type="expression" dxfId="16843" priority="51684">
      <formula>IF($B6="Quoting",TRUE,FALSE)</formula>
    </cfRule>
    <cfRule type="expression" dxfId="16842" priority="51685">
      <formula>IF($B6="Quoting",TRUE,FALSE)</formula>
    </cfRule>
    <cfRule type="expression" dxfId="16841" priority="51686">
      <formula>IF($B6="Quoting",TRUE,FALSE)</formula>
    </cfRule>
    <cfRule type="expression" dxfId="16840" priority="51687">
      <formula>IF($B6="VOID",TRUE,FALSE)</formula>
    </cfRule>
    <cfRule type="expression" dxfId="16839" priority="51688">
      <formula>IF($B6="VOID",TRUE,FALSE)</formula>
    </cfRule>
    <cfRule type="expression" dxfId="16838" priority="51689">
      <formula>IF($B6="VOID",TRUE,FALSE)</formula>
    </cfRule>
    <cfRule type="expression" dxfId="16837" priority="51690">
      <formula>IF($B6="Quoting",TRUE,FALSE)</formula>
    </cfRule>
    <cfRule type="expression" dxfId="16836" priority="51691">
      <formula>IF($B6="Quoting",TRUE,FALSE)</formula>
    </cfRule>
    <cfRule type="expression" dxfId="16835" priority="51692">
      <formula>IF($B6="Quoting",TRUE,FALSE)</formula>
    </cfRule>
    <cfRule type="expression" dxfId="16834" priority="51693">
      <formula>IF($B6="Quoting",TRUE,FALSE)</formula>
    </cfRule>
    <cfRule type="expression" dxfId="16833" priority="51694">
      <formula>IF($B6="Quoting",TRUE,FALSE)</formula>
    </cfRule>
    <cfRule type="expression" dxfId="16832" priority="51695">
      <formula>IF($B6="Quoting",TRUE,FALSE)</formula>
    </cfRule>
    <cfRule type="expression" dxfId="16831" priority="51696">
      <formula>IF($B6="Quoting",TRUE,FALSE)</formula>
    </cfRule>
    <cfRule type="expression" dxfId="16830" priority="51697">
      <formula>IF($B6="Quoting",TRUE,FALSE)</formula>
    </cfRule>
    <cfRule type="expression" dxfId="16829" priority="51698">
      <formula>IF($B6="Quoting",TRUE,FALSE)</formula>
    </cfRule>
    <cfRule type="expression" dxfId="16828" priority="51699">
      <formula>IF($B6="Quoting",TRUE,FALSE)</formula>
    </cfRule>
    <cfRule type="expression" dxfId="16827" priority="51700">
      <formula>IF($B6="Quoting",TRUE,FALSE)</formula>
    </cfRule>
    <cfRule type="expression" dxfId="16826" priority="51701">
      <formula>IF($B6="Quoting",TRUE,FALSE)</formula>
    </cfRule>
    <cfRule type="expression" dxfId="16825" priority="51702">
      <formula>IF($B6="VOID",TRUE,FALSE)</formula>
    </cfRule>
    <cfRule type="expression" dxfId="16824" priority="51703">
      <formula>IF($B6="VOID",TRUE,FALSE)</formula>
    </cfRule>
    <cfRule type="expression" dxfId="16823" priority="51704">
      <formula>IF($B6="VOID",TRUE,FALSE)</formula>
    </cfRule>
    <cfRule type="expression" dxfId="16822" priority="51705">
      <formula>IF($B6="VOID",TRUE,FALSE)</formula>
    </cfRule>
    <cfRule type="expression" dxfId="16821" priority="51706">
      <formula>IF($B6="VOID",TRUE,FALSE)</formula>
    </cfRule>
    <cfRule type="expression" dxfId="16820" priority="51707">
      <formula>IF($B6="VOID",TRUE,FALSE)</formula>
    </cfRule>
    <cfRule type="expression" dxfId="16819" priority="51708">
      <formula>IF($B6="Quoting",TRUE,FALSE)</formula>
    </cfRule>
    <cfRule type="expression" dxfId="16818" priority="51709">
      <formula>IF($B6="Quoting",TRUE,FALSE)</formula>
    </cfRule>
    <cfRule type="expression" dxfId="16817" priority="51710">
      <formula>IF($B6="Quoting",TRUE,FALSE)</formula>
    </cfRule>
    <cfRule type="expression" dxfId="16816" priority="51711">
      <formula>IF($B6="Quoting",TRUE,FALSE)</formula>
    </cfRule>
    <cfRule type="expression" dxfId="16815" priority="51712">
      <formula>IF($B6="VOID",TRUE,FALSE)</formula>
    </cfRule>
    <cfRule type="expression" dxfId="16814" priority="51713">
      <formula>IF($B6="VOID",TRUE,FALSE)</formula>
    </cfRule>
    <cfRule type="expression" dxfId="16813" priority="51714">
      <formula>IF($B6="Quoting",TRUE,FALSE)</formula>
    </cfRule>
    <cfRule type="expression" dxfId="16812" priority="51715">
      <formula>IF($B6="Quoting",TRUE,FALSE)</formula>
    </cfRule>
    <cfRule type="expression" dxfId="16811" priority="51716">
      <formula>IF($B6="Quoting",TRUE,FALSE)</formula>
    </cfRule>
    <cfRule type="expression" dxfId="16810" priority="51717">
      <formula>IF($B6="Quoting",TRUE,FALSE)</formula>
    </cfRule>
    <cfRule type="expression" dxfId="16809" priority="51718">
      <formula>IF($B6="Quoting",TRUE,FALSE)</formula>
    </cfRule>
    <cfRule type="expression" dxfId="16808" priority="51719">
      <formula>IF($B6="Quoting",TRUE,FALSE)</formula>
    </cfRule>
    <cfRule type="expression" dxfId="16807" priority="51720">
      <formula>IF($B6="Quoting",TRUE,FALSE)</formula>
    </cfRule>
    <cfRule type="expression" dxfId="16806" priority="51721">
      <formula>IF($B6="Quoting",TRUE,FALSE)</formula>
    </cfRule>
    <cfRule type="expression" dxfId="16805" priority="51722">
      <formula>IF($B6="Quoting",TRUE,FALSE)</formula>
    </cfRule>
    <cfRule type="expression" dxfId="16804" priority="51723">
      <formula>IF($B6="Quoting",TRUE,FALSE)</formula>
    </cfRule>
    <cfRule type="expression" dxfId="16803" priority="51724">
      <formula>IF($B6="Quoting",TRUE,FALSE)</formula>
    </cfRule>
    <cfRule type="expression" dxfId="16802" priority="51725">
      <formula>IF($B6="Quoting",TRUE,FALSE)</formula>
    </cfRule>
    <cfRule type="expression" dxfId="16801" priority="51726">
      <formula>IF($B6="Quoting",TRUE,FALSE)</formula>
    </cfRule>
    <cfRule type="expression" dxfId="16800" priority="51727">
      <formula>IF($B6="Quoting",TRUE,FALSE)</formula>
    </cfRule>
    <cfRule type="expression" dxfId="16799" priority="51728">
      <formula>IF($B6="Quoting",TRUE,FALSE)</formula>
    </cfRule>
    <cfRule type="expression" dxfId="16798" priority="51729">
      <formula>IF($B6="Quoting",TRUE,FALSE)</formula>
    </cfRule>
    <cfRule type="expression" dxfId="16797" priority="51730">
      <formula>IF($B6="Quoting",TRUE,FALSE)</formula>
    </cfRule>
    <cfRule type="expression" dxfId="16796" priority="51731">
      <formula>IF($B6="Quoting",TRUE,FALSE)</formula>
    </cfRule>
    <cfRule type="expression" dxfId="16795" priority="51732">
      <formula>IF($B6="Quoting",TRUE,FALSE)</formula>
    </cfRule>
    <cfRule type="expression" dxfId="16794" priority="51733">
      <formula>IF($B6="Quoting",TRUE,FALSE)</formula>
    </cfRule>
    <cfRule type="expression" dxfId="16793" priority="51734">
      <formula>IF($B6="Quoting",TRUE,FALSE)</formula>
    </cfRule>
    <cfRule type="expression" dxfId="16792" priority="51735">
      <formula>IF($B6="Quoting",TRUE,FALSE)</formula>
    </cfRule>
    <cfRule type="expression" dxfId="16791" priority="51736">
      <formula>IF($B6="Quoting",TRUE,FALSE)</formula>
    </cfRule>
    <cfRule type="expression" dxfId="16790" priority="51737">
      <formula>IF($B6="Quoting",TRUE,FALSE)</formula>
    </cfRule>
    <cfRule type="expression" dxfId="16789" priority="51738">
      <formula>IF($B6="VOID",TRUE,FALSE)</formula>
    </cfRule>
    <cfRule type="expression" dxfId="16788" priority="51739">
      <formula>IF($B6="Quoting",TRUE,FALSE)</formula>
    </cfRule>
    <cfRule type="expression" dxfId="16787" priority="51740">
      <formula>IF($B6="Quoting",TRUE,FALSE)</formula>
    </cfRule>
    <cfRule type="expression" dxfId="16786" priority="51741">
      <formula>IF($B6="VOID",TRUE,FALSE)</formula>
    </cfRule>
    <cfRule type="expression" dxfId="16785" priority="51742">
      <formula>IF($B6="VOID",TRUE,FALSE)</formula>
    </cfRule>
    <cfRule type="expression" dxfId="16784" priority="51743">
      <formula>IF($B6="VOID",TRUE,FALSE)</formula>
    </cfRule>
    <cfRule type="expression" dxfId="16783" priority="51744">
      <formula>IF($B6="VOID",TRUE,FALSE)</formula>
    </cfRule>
    <cfRule type="expression" dxfId="16782" priority="51745">
      <formula>IF($B6="VOID",TRUE,FALSE)</formula>
    </cfRule>
    <cfRule type="expression" dxfId="16781" priority="51746">
      <formula>IF($B6="VOID",TRUE,FALSE)</formula>
    </cfRule>
    <cfRule type="expression" dxfId="16780" priority="51747">
      <formula>IF($B6="VOID",TRUE,FALSE)</formula>
    </cfRule>
    <cfRule type="expression" dxfId="16779" priority="51748">
      <formula>IF($B6="VOID",TRUE,FALSE)</formula>
    </cfRule>
    <cfRule type="expression" dxfId="16778" priority="51749">
      <formula>IF($B6="VOID",TRUE,FALSE)</formula>
    </cfRule>
    <cfRule type="expression" dxfId="16777" priority="51750">
      <formula>IF($B6="VOID",TRUE,FALSE)</formula>
    </cfRule>
    <cfRule type="expression" dxfId="16776" priority="51751">
      <formula>IF($B6="VOID",TRUE,FALSE)</formula>
    </cfRule>
    <cfRule type="expression" dxfId="16775" priority="51752">
      <formula>IF($B6="VOID",TRUE,FALSE)</formula>
    </cfRule>
    <cfRule type="expression" dxfId="16774" priority="51753">
      <formula>IF($B6="VOID",TRUE,FALSE)</formula>
    </cfRule>
    <cfRule type="expression" dxfId="16773" priority="51754">
      <formula>IF($B6="Quoting",TRUE,FALSE)</formula>
    </cfRule>
  </conditionalFormatting>
  <conditionalFormatting sqref="E7">
    <cfRule type="expression" dxfId="16772" priority="51665">
      <formula>IF($B7="VOID",TRUE,FALSE)</formula>
    </cfRule>
    <cfRule type="expression" dxfId="16771" priority="51666">
      <formula>IF($B7="VOID",TRUE,FALSE)</formula>
    </cfRule>
    <cfRule type="expression" dxfId="16770" priority="51667">
      <formula>IF($B7="VOID",TRUE,FALSE)</formula>
    </cfRule>
    <cfRule type="expression" dxfId="16769" priority="51668">
      <formula>IF($B7="VOID",TRUE,FALSE)</formula>
    </cfRule>
    <cfRule type="expression" dxfId="16768" priority="51669">
      <formula>IF($B7="VOID",TRUE,FALSE)</formula>
    </cfRule>
    <cfRule type="expression" dxfId="16767" priority="51670">
      <formula>IF($B7="VOID",TRUE,FALSE)</formula>
    </cfRule>
    <cfRule type="expression" dxfId="16766" priority="51671">
      <formula>IF($B7="VOID",TRUE,FALSE)</formula>
    </cfRule>
    <cfRule type="expression" dxfId="16765" priority="51672">
      <formula>IF($B7="VOID",TRUE,FALSE)</formula>
    </cfRule>
    <cfRule type="expression" dxfId="16764" priority="51673">
      <formula>IF($B7="VOID",TRUE,FALSE)</formula>
    </cfRule>
    <cfRule type="expression" dxfId="16763" priority="51674">
      <formula>IF($B7="VOID",TRUE,FALSE)</formula>
    </cfRule>
  </conditionalFormatting>
  <conditionalFormatting sqref="E9:E10">
    <cfRule type="expression" dxfId="16762" priority="51107">
      <formula>IF($B9="VOID",TRUE,FALSE)</formula>
    </cfRule>
    <cfRule type="expression" dxfId="16761" priority="51108">
      <formula>IF($B9="VOID",TRUE,FALSE)</formula>
    </cfRule>
    <cfRule type="expression" dxfId="16760" priority="51109">
      <formula>IF($B9="VOID",TRUE,FALSE)</formula>
    </cfRule>
    <cfRule type="expression" dxfId="16759" priority="51110">
      <formula>IF($B9="VOID",TRUE,FALSE)</formula>
    </cfRule>
    <cfRule type="expression" dxfId="16758" priority="51111">
      <formula>IF($B9="VOID",TRUE,FALSE)</formula>
    </cfRule>
    <cfRule type="expression" dxfId="16757" priority="51112">
      <formula>IF($B9="VOID",TRUE,FALSE)</formula>
    </cfRule>
    <cfRule type="expression" dxfId="16756" priority="51113">
      <formula>IF($B9="VOID",TRUE,FALSE)</formula>
    </cfRule>
    <cfRule type="expression" dxfId="16755" priority="51114">
      <formula>IF($B9="VOID",TRUE,FALSE)</formula>
    </cfRule>
    <cfRule type="expression" dxfId="16754" priority="51115">
      <formula>IF($B9="VOID",TRUE,FALSE)</formula>
    </cfRule>
    <cfRule type="expression" dxfId="16753" priority="51116">
      <formula>IF($B9="VOID",TRUE,FALSE)</formula>
    </cfRule>
  </conditionalFormatting>
  <conditionalFormatting sqref="E11">
    <cfRule type="expression" dxfId="16752" priority="50548">
      <formula>IF($B11="VOID",TRUE,FALSE)</formula>
    </cfRule>
    <cfRule type="expression" dxfId="16751" priority="50549">
      <formula>IF($B11="Quoting",TRUE,FALSE)</formula>
    </cfRule>
    <cfRule type="expression" dxfId="16750" priority="50550">
      <formula>IF($B11="VOID",TRUE,FALSE)</formula>
    </cfRule>
    <cfRule type="expression" dxfId="16749" priority="50551">
      <formula>IF($B11="VOID",TRUE,FALSE)</formula>
    </cfRule>
    <cfRule type="expression" dxfId="16748" priority="50552">
      <formula>IF($B11="Quoting",TRUE,FALSE)</formula>
    </cfRule>
    <cfRule type="expression" dxfId="16747" priority="50553">
      <formula>IF($B11="VOID",TRUE,FALSE)</formula>
    </cfRule>
    <cfRule type="expression" dxfId="16746" priority="50554">
      <formula>IF($B11="Quoting",TRUE,FALSE)</formula>
    </cfRule>
    <cfRule type="expression" dxfId="16745" priority="50555">
      <formula>IF($B11="VOID",TRUE,FALSE)</formula>
    </cfRule>
    <cfRule type="expression" dxfId="16744" priority="50556">
      <formula>IF($B11="Quoting",TRUE,FALSE)</formula>
    </cfRule>
    <cfRule type="expression" dxfId="16743" priority="50557">
      <formula>IF($B11="VOID",TRUE,FALSE)</formula>
    </cfRule>
    <cfRule type="expression" dxfId="16742" priority="50558">
      <formula>IF($B11="Quoting",TRUE,FALSE)</formula>
    </cfRule>
    <cfRule type="expression" dxfId="16741" priority="50559">
      <formula>IF($B11="LOST",TRUE,FALSE)</formula>
    </cfRule>
    <cfRule type="expression" dxfId="16740" priority="50560">
      <formula>IF($B11="Larry",TRUE,FALSE)</formula>
    </cfRule>
    <cfRule type="expression" dxfId="16739" priority="50561">
      <formula>IF($B11="Cathy",TRUE,FALSE)</formula>
    </cfRule>
    <cfRule type="expression" dxfId="16738" priority="50562">
      <formula>IF($B11="ISSUE",TRUE,FALSE)</formula>
    </cfRule>
    <cfRule type="expression" dxfId="16737" priority="50563">
      <formula>IF($B11="Purchased",TRUE,FALSE)</formula>
    </cfRule>
    <cfRule type="expression" dxfId="16736" priority="50564">
      <formula>IF($B11="Requoted",TRUE,FALSE)</formula>
    </cfRule>
    <cfRule type="expression" dxfId="16735" priority="50565">
      <formula>IF($B11="Quote Sent",TRUE,FALSE)</formula>
    </cfRule>
    <cfRule type="expression" dxfId="16734" priority="50566">
      <formula>IF($B11="Max",TRUE,FALSE)</formula>
    </cfRule>
    <cfRule type="expression" dxfId="16733" priority="50567">
      <formula>IF($B11="Quoting",TRUE,FALSE)</formula>
    </cfRule>
  </conditionalFormatting>
  <conditionalFormatting sqref="E12:E15">
    <cfRule type="expression" dxfId="16732" priority="50372">
      <formula>IF($B12="Quoting",TRUE,FALSE)</formula>
    </cfRule>
  </conditionalFormatting>
  <conditionalFormatting sqref="E14">
    <cfRule type="expression" dxfId="16731" priority="49976">
      <formula>IF($B14="Quoting",TRUE,FALSE)</formula>
    </cfRule>
  </conditionalFormatting>
  <conditionalFormatting sqref="E15">
    <cfRule type="expression" dxfId="16730" priority="49702">
      <formula>IF($B15="VOID",TRUE,FALSE)</formula>
    </cfRule>
    <cfRule type="expression" dxfId="16729" priority="49703">
      <formula>IF($B15="VOID",TRUE,FALSE)</formula>
    </cfRule>
    <cfRule type="expression" dxfId="16728" priority="49704">
      <formula>IF($B15="VOID",TRUE,FALSE)</formula>
    </cfRule>
    <cfRule type="expression" dxfId="16727" priority="49705">
      <formula>IF($B15="VOID",TRUE,FALSE)</formula>
    </cfRule>
    <cfRule type="expression" dxfId="16726" priority="49706">
      <formula>IF($B15="VOID",TRUE,FALSE)</formula>
    </cfRule>
    <cfRule type="expression" dxfId="16725" priority="49707">
      <formula>IF($B15="VOID",TRUE,FALSE)</formula>
    </cfRule>
    <cfRule type="expression" dxfId="16724" priority="49708">
      <formula>IF($B15="VOID",TRUE,FALSE)</formula>
    </cfRule>
    <cfRule type="expression" dxfId="16723" priority="49709">
      <formula>IF($B15="Quoting",TRUE,FALSE)</formula>
    </cfRule>
    <cfRule type="expression" dxfId="16722" priority="49710">
      <formula>IF($B15="Quoting",TRUE,FALSE)</formula>
    </cfRule>
    <cfRule type="expression" dxfId="16721" priority="49711">
      <formula>IF($B15="Quoting",TRUE,FALSE)</formula>
    </cfRule>
    <cfRule type="expression" dxfId="16720" priority="49712">
      <formula>IF($B15="VOID",TRUE,FALSE)</formula>
    </cfRule>
    <cfRule type="expression" dxfId="16719" priority="49713">
      <formula>IF($B15="VOID",TRUE,FALSE)</formula>
    </cfRule>
    <cfRule type="expression" dxfId="16718" priority="49714">
      <formula>IF($B15="Quoting",TRUE,FALSE)</formula>
    </cfRule>
    <cfRule type="expression" dxfId="16717" priority="49715">
      <formula>IF($B15="Quoting",TRUE,FALSE)</formula>
    </cfRule>
    <cfRule type="expression" dxfId="16716" priority="49716">
      <formula>IF($B15="VOID",TRUE,FALSE)</formula>
    </cfRule>
    <cfRule type="expression" dxfId="16715" priority="49717">
      <formula>IF($B15="Quoting",TRUE,FALSE)</formula>
    </cfRule>
    <cfRule type="expression" dxfId="16714" priority="49718">
      <formula>IF($B15="VOID",TRUE,FALSE)</formula>
    </cfRule>
    <cfRule type="expression" dxfId="16713" priority="49719">
      <formula>IF($B15="Quoting",TRUE,FALSE)</formula>
    </cfRule>
    <cfRule type="expression" dxfId="16712" priority="49720">
      <formula>IF($B15="VOID",TRUE,FALSE)</formula>
    </cfRule>
    <cfRule type="expression" dxfId="16711" priority="49721">
      <formula>IF($B15="VOID",TRUE,FALSE)</formula>
    </cfRule>
    <cfRule type="expression" dxfId="16710" priority="49722">
      <formula>IF($B15="VOID",TRUE,FALSE)</formula>
    </cfRule>
    <cfRule type="expression" dxfId="16709" priority="49723">
      <formula>IF($B15="Quoting",TRUE,FALSE)</formula>
    </cfRule>
    <cfRule type="expression" dxfId="16708" priority="49724">
      <formula>IF($B15="VOID",TRUE,FALSE)</formula>
    </cfRule>
    <cfRule type="expression" dxfId="16707" priority="49725">
      <formula>IF($B15="VOID",TRUE,FALSE)</formula>
    </cfRule>
    <cfRule type="expression" dxfId="16706" priority="49726">
      <formula>IF($B15="VOID",TRUE,FALSE)</formula>
    </cfRule>
    <cfRule type="expression" dxfId="16705" priority="49727">
      <formula>IF($B15="VOID",TRUE,FALSE)</formula>
    </cfRule>
    <cfRule type="expression" dxfId="16704" priority="49728">
      <formula>IF($B15="VOID",TRUE,FALSE)</formula>
    </cfRule>
    <cfRule type="expression" dxfId="16703" priority="49729">
      <formula>IF($B15="VOID",TRUE,FALSE)</formula>
    </cfRule>
    <cfRule type="expression" dxfId="16702" priority="49730">
      <formula>IF($B15="VOID",TRUE,FALSE)</formula>
    </cfRule>
    <cfRule type="expression" dxfId="16701" priority="49731">
      <formula>IF($B15="VOID",TRUE,FALSE)</formula>
    </cfRule>
    <cfRule type="expression" dxfId="16700" priority="49732">
      <formula>IF($B15="VOID",TRUE,FALSE)</formula>
    </cfRule>
    <cfRule type="expression" dxfId="16699" priority="49733">
      <formula>IF($B15="VOID",TRUE,FALSE)</formula>
    </cfRule>
    <cfRule type="expression" dxfId="16698" priority="49734">
      <formula>IF($B15="VOID",TRUE,FALSE)</formula>
    </cfRule>
    <cfRule type="expression" dxfId="16697" priority="49735">
      <formula>IF($B15="VOID",TRUE,FALSE)</formula>
    </cfRule>
    <cfRule type="expression" dxfId="16696" priority="49736">
      <formula>IF($B15="Quoting",TRUE,FALSE)</formula>
    </cfRule>
    <cfRule type="expression" dxfId="16695" priority="49737">
      <formula>IF($B15="Quoting",TRUE,FALSE)</formula>
    </cfRule>
    <cfRule type="expression" dxfId="16694" priority="49738">
      <formula>IF($B15="Quoting",TRUE,FALSE)</formula>
    </cfRule>
    <cfRule type="expression" dxfId="16693" priority="49739">
      <formula>IF($B15="VOID",TRUE,FALSE)</formula>
    </cfRule>
    <cfRule type="expression" dxfId="16692" priority="49740">
      <formula>IF($B15="VOID",TRUE,FALSE)</formula>
    </cfRule>
    <cfRule type="expression" dxfId="16691" priority="49741">
      <formula>IF($B15="Quoting",TRUE,FALSE)</formula>
    </cfRule>
    <cfRule type="expression" dxfId="16690" priority="49742">
      <formula>IF($B15="VOID",TRUE,FALSE)</formula>
    </cfRule>
    <cfRule type="expression" dxfId="16689" priority="49743">
      <formula>IF($B15="VOID",TRUE,FALSE)</formula>
    </cfRule>
    <cfRule type="expression" dxfId="16688" priority="49744">
      <formula>IF($B15="VOID",TRUE,FALSE)</formula>
    </cfRule>
    <cfRule type="expression" dxfId="16687" priority="49745">
      <formula>IF($B15="Quoting",TRUE,FALSE)</formula>
    </cfRule>
    <cfRule type="expression" dxfId="16686" priority="49746">
      <formula>IF($B15="Quoting",TRUE,FALSE)</formula>
    </cfRule>
    <cfRule type="expression" dxfId="16685" priority="49747">
      <formula>IF($B15="VOID",TRUE,FALSE)</formula>
    </cfRule>
    <cfRule type="expression" dxfId="16684" priority="49748">
      <formula>IF($B15="VOID",TRUE,FALSE)</formula>
    </cfRule>
    <cfRule type="expression" dxfId="16683" priority="49749">
      <formula>IF($B15="VOID",TRUE,FALSE)</formula>
    </cfRule>
    <cfRule type="expression" dxfId="16682" priority="49750">
      <formula>IF($B15="VOID",TRUE,FALSE)</formula>
    </cfRule>
    <cfRule type="expression" dxfId="16681" priority="49751">
      <formula>IF($B15="VOID",TRUE,FALSE)</formula>
    </cfRule>
    <cfRule type="expression" dxfId="16680" priority="49752">
      <formula>IF($B15="VOID",TRUE,FALSE)</formula>
    </cfRule>
    <cfRule type="expression" dxfId="16679" priority="49753">
      <formula>IF($B15="VOID",TRUE,FALSE)</formula>
    </cfRule>
    <cfRule type="expression" dxfId="16678" priority="49754">
      <formula>IF($B15="VOID",TRUE,FALSE)</formula>
    </cfRule>
    <cfRule type="expression" dxfId="16677" priority="49755">
      <formula>IF($B15="Quoting",TRUE,FALSE)</formula>
    </cfRule>
    <cfRule type="expression" dxfId="16676" priority="49756">
      <formula>IF($B15="Quoting",TRUE,FALSE)</formula>
    </cfRule>
    <cfRule type="expression" dxfId="16675" priority="49757">
      <formula>IF($B15="Quoting",TRUE,FALSE)</formula>
    </cfRule>
    <cfRule type="expression" dxfId="16674" priority="49758">
      <formula>IF($B15="VOID",TRUE,FALSE)</formula>
    </cfRule>
    <cfRule type="expression" dxfId="16673" priority="49759">
      <formula>IF($B15="VOID",TRUE,FALSE)</formula>
    </cfRule>
    <cfRule type="expression" dxfId="16672" priority="49760">
      <formula>IF($B15="Quoting",TRUE,FALSE)</formula>
    </cfRule>
    <cfRule type="expression" dxfId="16671" priority="49761">
      <formula>IF($B15="Quoting",TRUE,FALSE)</formula>
    </cfRule>
    <cfRule type="expression" dxfId="16670" priority="49762">
      <formula>IF($B15="VOID",TRUE,FALSE)</formula>
    </cfRule>
    <cfRule type="expression" dxfId="16669" priority="49763">
      <formula>IF($B15="Quoting",TRUE,FALSE)</formula>
    </cfRule>
    <cfRule type="expression" dxfId="16668" priority="49764">
      <formula>IF($B15="VOID",TRUE,FALSE)</formula>
    </cfRule>
    <cfRule type="expression" dxfId="16667" priority="49765">
      <formula>IF($B15="Quoting",TRUE,FALSE)</formula>
    </cfRule>
    <cfRule type="expression" dxfId="16666" priority="49766">
      <formula>IF($B15="Quoting",TRUE,FALSE)</formula>
    </cfRule>
    <cfRule type="expression" dxfId="16665" priority="49767">
      <formula>IF($B15="Quoting",TRUE,FALSE)</formula>
    </cfRule>
  </conditionalFormatting>
  <conditionalFormatting sqref="E16:E17">
    <cfRule type="expression" dxfId="16664" priority="49525">
      <formula>IF($B16="Larry",TRUE,FALSE)</formula>
    </cfRule>
    <cfRule type="expression" dxfId="16663" priority="49526">
      <formula>IF($B16="VOID",TRUE,FALSE)</formula>
    </cfRule>
    <cfRule type="expression" dxfId="16662" priority="49527">
      <formula>IF($B16="VOID",TRUE,FALSE)</formula>
    </cfRule>
    <cfRule type="expression" dxfId="16661" priority="49528">
      <formula>IF($B16="VOID",TRUE,FALSE)</formula>
    </cfRule>
    <cfRule type="expression" dxfId="16660" priority="49529">
      <formula>IF($B16="VOID",TRUE,FALSE)</formula>
    </cfRule>
    <cfRule type="expression" dxfId="16659" priority="49530">
      <formula>IF($B16="VOID",TRUE,FALSE)</formula>
    </cfRule>
    <cfRule type="expression" dxfId="16658" priority="49531">
      <formula>IF($B16="VOID",TRUE,FALSE)</formula>
    </cfRule>
    <cfRule type="expression" dxfId="16657" priority="49532">
      <formula>IF($B16="VOID",TRUE,FALSE)</formula>
    </cfRule>
    <cfRule type="expression" dxfId="16656" priority="49533">
      <formula>IF($B16="VOID",TRUE,FALSE)</formula>
    </cfRule>
    <cfRule type="expression" dxfId="16655" priority="49534">
      <formula>IF($B16="VOID",TRUE,FALSE)</formula>
    </cfRule>
    <cfRule type="expression" dxfId="16654" priority="49535">
      <formula>IF($B16="VOID",TRUE,FALSE)</formula>
    </cfRule>
    <cfRule type="expression" dxfId="16653" priority="49536">
      <formula>IF($B16="VOID",TRUE,FALSE)</formula>
    </cfRule>
    <cfRule type="expression" dxfId="16652" priority="49537">
      <formula>IF($B16="VOID",TRUE,FALSE)</formula>
    </cfRule>
    <cfRule type="expression" dxfId="16651" priority="49538">
      <formula>IF($B16="VOID",TRUE,FALSE)</formula>
    </cfRule>
    <cfRule type="expression" dxfId="16650" priority="49539">
      <formula>IF($B16="VOID",TRUE,FALSE)</formula>
    </cfRule>
    <cfRule type="expression" dxfId="16649" priority="49540">
      <formula>IF($B16="VOID",TRUE,FALSE)</formula>
    </cfRule>
    <cfRule type="expression" dxfId="16648" priority="49541">
      <formula>IF($B16="VOID",TRUE,FALSE)</formula>
    </cfRule>
    <cfRule type="expression" dxfId="16647" priority="49542">
      <formula>IF($B16="VOID",TRUE,FALSE)</formula>
    </cfRule>
    <cfRule type="expression" dxfId="16646" priority="49543">
      <formula>IF($B16="VOID",TRUE,FALSE)</formula>
    </cfRule>
    <cfRule type="expression" dxfId="16645" priority="49544">
      <formula>IF($B16="VOID",TRUE,FALSE)</formula>
    </cfRule>
    <cfRule type="expression" dxfId="16644" priority="49545">
      <formula>IF($B16="VOID",TRUE,FALSE)</formula>
    </cfRule>
    <cfRule type="expression" dxfId="16643" priority="49546">
      <formula>IF($B16="VOID",TRUE,FALSE)</formula>
    </cfRule>
    <cfRule type="expression" dxfId="16642" priority="49547">
      <formula>IF($B16="VOID",TRUE,FALSE)</formula>
    </cfRule>
    <cfRule type="expression" dxfId="16641" priority="49548">
      <formula>IF($B16="VOID",TRUE,FALSE)</formula>
    </cfRule>
    <cfRule type="expression" dxfId="16640" priority="49549">
      <formula>IF($B16="VOID",TRUE,FALSE)</formula>
    </cfRule>
    <cfRule type="expression" dxfId="16639" priority="49550">
      <formula>IF($B16="VOID",TRUE,FALSE)</formula>
    </cfRule>
    <cfRule type="expression" dxfId="16638" priority="49551">
      <formula>IF($B16="VOID",TRUE,FALSE)</formula>
    </cfRule>
    <cfRule type="expression" dxfId="16637" priority="49552">
      <formula>IF($B16="VOID",TRUE,FALSE)</formula>
    </cfRule>
    <cfRule type="expression" dxfId="16636" priority="49553">
      <formula>IF($B16="VOID",TRUE,FALSE)</formula>
    </cfRule>
    <cfRule type="expression" dxfId="16635" priority="49554">
      <formula>IF($B16="VOID",TRUE,FALSE)</formula>
    </cfRule>
    <cfRule type="expression" dxfId="16634" priority="49555">
      <formula>IF($B16="VOID",TRUE,FALSE)</formula>
    </cfRule>
    <cfRule type="expression" dxfId="16633" priority="49556">
      <formula>IF($B16="VOID",TRUE,FALSE)</formula>
    </cfRule>
    <cfRule type="expression" dxfId="16632" priority="49557">
      <formula>IF($B16="Quoting",TRUE,FALSE)</formula>
    </cfRule>
    <cfRule type="expression" dxfId="16631" priority="49558">
      <formula>IF($B16="Quoting",TRUE,FALSE)</formula>
    </cfRule>
    <cfRule type="expression" dxfId="16630" priority="49559">
      <formula>IF($B16="Quoting",TRUE,FALSE)</formula>
    </cfRule>
    <cfRule type="expression" dxfId="16629" priority="49560">
      <formula>IF($B16="VOID",TRUE,FALSE)</formula>
    </cfRule>
    <cfRule type="expression" dxfId="16628" priority="49561">
      <formula>IF($B16="VOID",TRUE,FALSE)</formula>
    </cfRule>
    <cfRule type="expression" dxfId="16627" priority="49562">
      <formula>IF($B16="Quoting",TRUE,FALSE)</formula>
    </cfRule>
    <cfRule type="expression" dxfId="16626" priority="49563">
      <formula>IF($B16="VOID",TRUE,FALSE)</formula>
    </cfRule>
    <cfRule type="expression" dxfId="16625" priority="49564">
      <formula>IF($B16="VOID",TRUE,FALSE)</formula>
    </cfRule>
    <cfRule type="expression" dxfId="16624" priority="49565">
      <formula>IF($B16="VOID",TRUE,FALSE)</formula>
    </cfRule>
    <cfRule type="expression" dxfId="16623" priority="49566">
      <formula>IF($B16="Quoting",TRUE,FALSE)</formula>
    </cfRule>
    <cfRule type="expression" dxfId="16622" priority="49567">
      <formula>IF($B16="Quoting",TRUE,FALSE)</formula>
    </cfRule>
    <cfRule type="expression" dxfId="16621" priority="49568">
      <formula>IF($B16="Quoting",TRUE,FALSE)</formula>
    </cfRule>
    <cfRule type="expression" dxfId="16620" priority="49569">
      <formula>IF($B16="Quoting",TRUE,FALSE)</formula>
    </cfRule>
    <cfRule type="expression" dxfId="16619" priority="49570">
      <formula>IF($B16="Quoting",TRUE,FALSE)</formula>
    </cfRule>
    <cfRule type="expression" dxfId="16618" priority="49571">
      <formula>IF($B16="VOID",TRUE,FALSE)</formula>
    </cfRule>
    <cfRule type="expression" dxfId="16617" priority="49572">
      <formula>IF($B16="VOID",TRUE,FALSE)</formula>
    </cfRule>
    <cfRule type="expression" dxfId="16616" priority="49573">
      <formula>IF($B16="Quoting",TRUE,FALSE)</formula>
    </cfRule>
    <cfRule type="expression" dxfId="16615" priority="49574">
      <formula>IF($B16="Quoting",TRUE,FALSE)</formula>
    </cfRule>
    <cfRule type="expression" dxfId="16614" priority="49575">
      <formula>IF($B16="VOID",TRUE,FALSE)</formula>
    </cfRule>
    <cfRule type="expression" dxfId="16613" priority="49576">
      <formula>IF($B16="Quoting",TRUE,FALSE)</formula>
    </cfRule>
    <cfRule type="expression" dxfId="16612" priority="49577">
      <formula>IF($B16="VOID",TRUE,FALSE)</formula>
    </cfRule>
    <cfRule type="expression" dxfId="16611" priority="49578">
      <formula>IF($B16="Quoting",TRUE,FALSE)</formula>
    </cfRule>
    <cfRule type="expression" dxfId="16610" priority="49579">
      <formula>IF($B16="Quoting",TRUE,FALSE)</formula>
    </cfRule>
    <cfRule type="expression" dxfId="16609" priority="49580">
      <formula>IF($B16="Quoting",TRUE,FALSE)</formula>
    </cfRule>
    <cfRule type="expression" dxfId="16608" priority="49581">
      <formula>IF($B16="VOID",TRUE,FALSE)</formula>
    </cfRule>
    <cfRule type="expression" dxfId="16607" priority="49582">
      <formula>IF($B16="VOID",TRUE,FALSE)</formula>
    </cfRule>
    <cfRule type="expression" dxfId="16606" priority="49583">
      <formula>IF($B16="VOID",TRUE,FALSE)</formula>
    </cfRule>
    <cfRule type="expression" dxfId="16605" priority="49584">
      <formula>IF($B16="VOID",TRUE,FALSE)</formula>
    </cfRule>
    <cfRule type="expression" dxfId="16604" priority="49585">
      <formula>IF($B16="Quoting",TRUE,FALSE)</formula>
    </cfRule>
    <cfRule type="expression" dxfId="16603" priority="49586">
      <formula>IF($B16="Quoting",TRUE,FALSE)</formula>
    </cfRule>
    <cfRule type="expression" dxfId="16602" priority="49587">
      <formula>IF($B16="Quoting",TRUE,FALSE)</formula>
    </cfRule>
    <cfRule type="expression" dxfId="16601" priority="49588">
      <formula>IF($B16="Quoting",TRUE,FALSE)</formula>
    </cfRule>
    <cfRule type="expression" dxfId="16600" priority="49589">
      <formula>IF($B16="Quoting",TRUE,FALSE)</formula>
    </cfRule>
    <cfRule type="expression" dxfId="16599" priority="49590">
      <formula>IF($B16="VOID",TRUE,FALSE)</formula>
    </cfRule>
    <cfRule type="expression" dxfId="16598" priority="49591">
      <formula>IF($B16="VOID",TRUE,FALSE)</formula>
    </cfRule>
    <cfRule type="expression" dxfId="16597" priority="49592">
      <formula>IF($B16="Quoting",TRUE,FALSE)</formula>
    </cfRule>
    <cfRule type="expression" dxfId="16596" priority="49593">
      <formula>IF($B16="Quoting",TRUE,FALSE)</formula>
    </cfRule>
    <cfRule type="expression" dxfId="16595" priority="49594">
      <formula>IF($B16="Quoting",TRUE,FALSE)</formula>
    </cfRule>
    <cfRule type="expression" dxfId="16594" priority="49595">
      <formula>IF($B16="Quoting",TRUE,FALSE)</formula>
    </cfRule>
    <cfRule type="expression" dxfId="16593" priority="49596">
      <formula>IF($B16="Quoting",TRUE,FALSE)</formula>
    </cfRule>
    <cfRule type="expression" dxfId="16592" priority="49597">
      <formula>IF($B16="VOID",TRUE,FALSE)</formula>
    </cfRule>
    <cfRule type="expression" dxfId="16591" priority="49598">
      <formula>IF($B16="VOID",TRUE,FALSE)</formula>
    </cfRule>
    <cfRule type="expression" dxfId="16590" priority="49599">
      <formula>IF($B16="VOID",TRUE,FALSE)</formula>
    </cfRule>
    <cfRule type="expression" dxfId="16589" priority="49600">
      <formula>IF($B16="VOID",TRUE,FALSE)</formula>
    </cfRule>
    <cfRule type="expression" dxfId="16588" priority="49601">
      <formula>IF($B16="VOID",TRUE,FALSE)</formula>
    </cfRule>
    <cfRule type="expression" dxfId="16587" priority="49602">
      <formula>IF($B16="VOID",TRUE,FALSE)</formula>
    </cfRule>
    <cfRule type="expression" dxfId="16586" priority="49603">
      <formula>IF($B16="VOID",TRUE,FALSE)</formula>
    </cfRule>
    <cfRule type="expression" dxfId="16585" priority="49604">
      <formula>IF($B16="VOID",TRUE,FALSE)</formula>
    </cfRule>
    <cfRule type="expression" dxfId="16584" priority="49605">
      <formula>IF($B16="VOID",TRUE,FALSE)</formula>
    </cfRule>
    <cfRule type="expression" dxfId="16583" priority="49606">
      <formula>IF($B16="VOID",TRUE,FALSE)</formula>
    </cfRule>
    <cfRule type="expression" dxfId="16582" priority="49607">
      <formula>IF($B16="VOID",TRUE,FALSE)</formula>
    </cfRule>
    <cfRule type="expression" dxfId="16581" priority="49608">
      <formula>IF($B16="VOID",TRUE,FALSE)</formula>
    </cfRule>
    <cfRule type="expression" dxfId="16580" priority="49609">
      <formula>IF($B16="VOID",TRUE,FALSE)</formula>
    </cfRule>
    <cfRule type="expression" dxfId="16579" priority="49610">
      <formula>IF($B16="VOID",TRUE,FALSE)</formula>
    </cfRule>
    <cfRule type="expression" dxfId="16578" priority="49611">
      <formula>IF($B16="VOID",TRUE,FALSE)</formula>
    </cfRule>
    <cfRule type="expression" dxfId="16577" priority="49612">
      <formula>IF($B16="VOID",TRUE,FALSE)</formula>
    </cfRule>
    <cfRule type="expression" dxfId="16576" priority="49613">
      <formula>IF($B16="VOID",TRUE,FALSE)</formula>
    </cfRule>
    <cfRule type="expression" dxfId="16575" priority="49614">
      <formula>IF($B16="VOID",TRUE,FALSE)</formula>
    </cfRule>
    <cfRule type="expression" dxfId="16574" priority="49615">
      <formula>IF($B16="VOID",TRUE,FALSE)</formula>
    </cfRule>
    <cfRule type="expression" dxfId="16573" priority="49616">
      <formula>IF($B16="VOID",TRUE,FALSE)</formula>
    </cfRule>
    <cfRule type="expression" dxfId="16572" priority="49617">
      <formula>IF($B16="VOID",TRUE,FALSE)</formula>
    </cfRule>
    <cfRule type="expression" dxfId="16571" priority="49618">
      <formula>IF($B16="VOID",TRUE,FALSE)</formula>
    </cfRule>
    <cfRule type="expression" dxfId="16570" priority="49619">
      <formula>IF($B16="VOID",TRUE,FALSE)</formula>
    </cfRule>
    <cfRule type="expression" dxfId="16569" priority="49620">
      <formula>IF($B16="VOID",TRUE,FALSE)</formula>
    </cfRule>
    <cfRule type="expression" dxfId="16568" priority="49621">
      <formula>IF($B16="VOID",TRUE,FALSE)</formula>
    </cfRule>
    <cfRule type="expression" dxfId="16567" priority="49622">
      <formula>IF($B16="VOID",TRUE,FALSE)</formula>
    </cfRule>
    <cfRule type="expression" dxfId="16566" priority="49623">
      <formula>IF($B16="VOID",TRUE,FALSE)</formula>
    </cfRule>
    <cfRule type="expression" dxfId="16565" priority="49624">
      <formula>IF($B16="VOID",TRUE,FALSE)</formula>
    </cfRule>
    <cfRule type="expression" dxfId="16564" priority="49625">
      <formula>IF($B16="VOID",TRUE,FALSE)</formula>
    </cfRule>
    <cfRule type="expression" dxfId="16563" priority="49626">
      <formula>IF($B16="VOID",TRUE,FALSE)</formula>
    </cfRule>
    <cfRule type="expression" dxfId="16562" priority="49627">
      <formula>IF($B16="Quoting",TRUE,FALSE)</formula>
    </cfRule>
    <cfRule type="expression" dxfId="16561" priority="49628">
      <formula>IF($B16="Quoting",TRUE,FALSE)</formula>
    </cfRule>
    <cfRule type="expression" dxfId="16560" priority="49629">
      <formula>IF($B16="Quoting",TRUE,FALSE)</formula>
    </cfRule>
    <cfRule type="expression" dxfId="16559" priority="49630">
      <formula>IF($B16="VOID",TRUE,FALSE)</formula>
    </cfRule>
    <cfRule type="expression" dxfId="16558" priority="49631">
      <formula>IF($B16="VOID",TRUE,FALSE)</formula>
    </cfRule>
    <cfRule type="expression" dxfId="16557" priority="49632">
      <formula>IF($B16="Quoting",TRUE,FALSE)</formula>
    </cfRule>
    <cfRule type="expression" dxfId="16556" priority="49633">
      <formula>IF($B16="VOID",TRUE,FALSE)</formula>
    </cfRule>
    <cfRule type="expression" dxfId="16555" priority="49634">
      <formula>IF($B16="VOID",TRUE,FALSE)</formula>
    </cfRule>
    <cfRule type="expression" dxfId="16554" priority="49635">
      <formula>IF($B16="VOID",TRUE,FALSE)</formula>
    </cfRule>
    <cfRule type="expression" dxfId="16553" priority="49636">
      <formula>IF($B16="Quoting",TRUE,FALSE)</formula>
    </cfRule>
    <cfRule type="expression" dxfId="16552" priority="49637">
      <formula>IF($B16="Quoting",TRUE,FALSE)</formula>
    </cfRule>
    <cfRule type="expression" dxfId="16551" priority="49638">
      <formula>IF($B16="Quoting",TRUE,FALSE)</formula>
    </cfRule>
    <cfRule type="expression" dxfId="16550" priority="49639">
      <formula>IF($B16="Quoting",TRUE,FALSE)</formula>
    </cfRule>
    <cfRule type="expression" dxfId="16549" priority="49640">
      <formula>IF($B16="Quoting",TRUE,FALSE)</formula>
    </cfRule>
    <cfRule type="expression" dxfId="16548" priority="49641">
      <formula>IF($B16="VOID",TRUE,FALSE)</formula>
    </cfRule>
    <cfRule type="expression" dxfId="16547" priority="49642">
      <formula>IF($B16="VOID",TRUE,FALSE)</formula>
    </cfRule>
    <cfRule type="expression" dxfId="16546" priority="49643">
      <formula>IF($B16="Quoting",TRUE,FALSE)</formula>
    </cfRule>
    <cfRule type="expression" dxfId="16545" priority="49644">
      <formula>IF($B16="Quoting",TRUE,FALSE)</formula>
    </cfRule>
    <cfRule type="expression" dxfId="16544" priority="49645">
      <formula>IF($B16="VOID",TRUE,FALSE)</formula>
    </cfRule>
    <cfRule type="expression" dxfId="16543" priority="49646">
      <formula>IF($B16="Quoting",TRUE,FALSE)</formula>
    </cfRule>
    <cfRule type="expression" dxfId="16542" priority="49647">
      <formula>IF($B16="VOID",TRUE,FALSE)</formula>
    </cfRule>
    <cfRule type="expression" dxfId="16541" priority="49648">
      <formula>IF($B16="Quoting",TRUE,FALSE)</formula>
    </cfRule>
    <cfRule type="expression" dxfId="16540" priority="49649">
      <formula>IF($B16="Quoting",TRUE,FALSE)</formula>
    </cfRule>
    <cfRule type="expression" dxfId="16539" priority="49650">
      <formula>IF($B16="Quoting",TRUE,FALSE)</formula>
    </cfRule>
    <cfRule type="expression" dxfId="16538" priority="49651">
      <formula>IF($B16="VOID",TRUE,FALSE)</formula>
    </cfRule>
    <cfRule type="expression" dxfId="16537" priority="49652">
      <formula>IF($B16="VOID",TRUE,FALSE)</formula>
    </cfRule>
    <cfRule type="expression" dxfId="16536" priority="49653">
      <formula>IF($B16="VOID",TRUE,FALSE)</formula>
    </cfRule>
    <cfRule type="expression" dxfId="16535" priority="49654">
      <formula>IF($B16="VOID",TRUE,FALSE)</formula>
    </cfRule>
    <cfRule type="expression" dxfId="16534" priority="49655">
      <formula>IF($B16="Quoting",TRUE,FALSE)</formula>
    </cfRule>
    <cfRule type="expression" dxfId="16533" priority="49656">
      <formula>IF($B16="Quoting",TRUE,FALSE)</formula>
    </cfRule>
    <cfRule type="expression" dxfId="16532" priority="49657">
      <formula>IF($B16="Quoting",TRUE,FALSE)</formula>
    </cfRule>
    <cfRule type="expression" dxfId="16531" priority="49658">
      <formula>IF($B16="Quoting",TRUE,FALSE)</formula>
    </cfRule>
    <cfRule type="expression" dxfId="16530" priority="49659">
      <formula>IF($B16="Quoting",TRUE,FALSE)</formula>
    </cfRule>
    <cfRule type="expression" dxfId="16529" priority="49660">
      <formula>IF($B16="VOID",TRUE,FALSE)</formula>
    </cfRule>
    <cfRule type="expression" dxfId="16528" priority="49661">
      <formula>IF($B16="VOID",TRUE,FALSE)</formula>
    </cfRule>
    <cfRule type="expression" dxfId="16527" priority="49662">
      <formula>IF($B16="Quoting",TRUE,FALSE)</formula>
    </cfRule>
    <cfRule type="expression" dxfId="16526" priority="49663">
      <formula>IF($B16="Quoting",TRUE,FALSE)</formula>
    </cfRule>
    <cfRule type="expression" dxfId="16525" priority="49664">
      <formula>IF($B16="Quoting",TRUE,FALSE)</formula>
    </cfRule>
    <cfRule type="expression" dxfId="16524" priority="49665">
      <formula>IF($B16="Quoting",TRUE,FALSE)</formula>
    </cfRule>
    <cfRule type="expression" dxfId="16523" priority="49666">
      <formula>IF($B16="Quoting",TRUE,FALSE)</formula>
    </cfRule>
    <cfRule type="expression" dxfId="16522" priority="49667">
      <formula>IF($B16="VOID",TRUE,FALSE)</formula>
    </cfRule>
    <cfRule type="expression" dxfId="16521" priority="49668">
      <formula>IF($B16="VOID",TRUE,FALSE)</formula>
    </cfRule>
    <cfRule type="expression" dxfId="16520" priority="49669">
      <formula>IF($B16="VOID",TRUE,FALSE)</formula>
    </cfRule>
    <cfRule type="expression" dxfId="16519" priority="49670">
      <formula>IF($B16="VOID",TRUE,FALSE)</formula>
    </cfRule>
    <cfRule type="expression" dxfId="16518" priority="49671">
      <formula>IF($B16="VOID",TRUE,FALSE)</formula>
    </cfRule>
    <cfRule type="expression" dxfId="16517" priority="49672">
      <formula>IF($B16="VOID",TRUE,FALSE)</formula>
    </cfRule>
    <cfRule type="expression" dxfId="16516" priority="49673">
      <formula>IF($B16="VOID",TRUE,FALSE)</formula>
    </cfRule>
    <cfRule type="expression" dxfId="16515" priority="49674">
      <formula>IF($B16="VOID",TRUE,FALSE)</formula>
    </cfRule>
    <cfRule type="expression" dxfId="16514" priority="49675">
      <formula>IF($B16="VOID",TRUE,FALSE)</formula>
    </cfRule>
    <cfRule type="expression" dxfId="16513" priority="49676">
      <formula>IF($B16="Quoting",TRUE,FALSE)</formula>
    </cfRule>
  </conditionalFormatting>
  <conditionalFormatting sqref="E17">
    <cfRule type="expression" dxfId="16512" priority="49686">
      <formula>IF($B17="Quoting",TRUE,FALSE)</formula>
    </cfRule>
  </conditionalFormatting>
  <conditionalFormatting sqref="E21 E27:E29">
    <cfRule type="expression" dxfId="16511" priority="49344">
      <formula>IF($B21="Larry",TRUE,FALSE)</formula>
    </cfRule>
    <cfRule type="expression" dxfId="16510" priority="49345">
      <formula>IF($B21="VOID",TRUE,FALSE)</formula>
    </cfRule>
    <cfRule type="expression" dxfId="16509" priority="49346">
      <formula>IF($B21="VOID",TRUE,FALSE)</formula>
    </cfRule>
    <cfRule type="expression" dxfId="16508" priority="49347">
      <formula>IF($B21="VOID",TRUE,FALSE)</formula>
    </cfRule>
    <cfRule type="expression" dxfId="16507" priority="49348">
      <formula>IF($B21="VOID",TRUE,FALSE)</formula>
    </cfRule>
    <cfRule type="expression" dxfId="16506" priority="49349">
      <formula>IF($B21="VOID",TRUE,FALSE)</formula>
    </cfRule>
    <cfRule type="expression" dxfId="16505" priority="49350">
      <formula>IF($B21="VOID",TRUE,FALSE)</formula>
    </cfRule>
    <cfRule type="expression" dxfId="16504" priority="49351">
      <formula>IF($B21="VOID",TRUE,FALSE)</formula>
    </cfRule>
    <cfRule type="expression" dxfId="16503" priority="49352">
      <formula>IF($B21="VOID",TRUE,FALSE)</formula>
    </cfRule>
    <cfRule type="expression" dxfId="16502" priority="49353">
      <formula>IF($B21="VOID",TRUE,FALSE)</formula>
    </cfRule>
    <cfRule type="expression" dxfId="16501" priority="49354">
      <formula>IF($B21="VOID",TRUE,FALSE)</formula>
    </cfRule>
    <cfRule type="expression" dxfId="16500" priority="49355">
      <formula>IF($B21="VOID",TRUE,FALSE)</formula>
    </cfRule>
    <cfRule type="expression" dxfId="16499" priority="49356">
      <formula>IF($B21="VOID",TRUE,FALSE)</formula>
    </cfRule>
    <cfRule type="expression" dxfId="16498" priority="49357">
      <formula>IF($B21="VOID",TRUE,FALSE)</formula>
    </cfRule>
    <cfRule type="expression" dxfId="16497" priority="49358">
      <formula>IF($B21="VOID",TRUE,FALSE)</formula>
    </cfRule>
    <cfRule type="expression" dxfId="16496" priority="49359">
      <formula>IF($B21="VOID",TRUE,FALSE)</formula>
    </cfRule>
    <cfRule type="expression" dxfId="16495" priority="49360">
      <formula>IF($B21="VOID",TRUE,FALSE)</formula>
    </cfRule>
    <cfRule type="expression" dxfId="16494" priority="49361">
      <formula>IF($B21="VOID",TRUE,FALSE)</formula>
    </cfRule>
    <cfRule type="expression" dxfId="16493" priority="49362">
      <formula>IF($B21="VOID",TRUE,FALSE)</formula>
    </cfRule>
    <cfRule type="expression" dxfId="16492" priority="49363">
      <formula>IF($B21="VOID",TRUE,FALSE)</formula>
    </cfRule>
    <cfRule type="expression" dxfId="16491" priority="49364">
      <formula>IF($B21="VOID",TRUE,FALSE)</formula>
    </cfRule>
    <cfRule type="expression" dxfId="16490" priority="49365">
      <formula>IF($B21="VOID",TRUE,FALSE)</formula>
    </cfRule>
    <cfRule type="expression" dxfId="16489" priority="49366">
      <formula>IF($B21="VOID",TRUE,FALSE)</formula>
    </cfRule>
    <cfRule type="expression" dxfId="16488" priority="49367">
      <formula>IF($B21="VOID",TRUE,FALSE)</formula>
    </cfRule>
    <cfRule type="expression" dxfId="16487" priority="49368">
      <formula>IF($B21="VOID",TRUE,FALSE)</formula>
    </cfRule>
    <cfRule type="expression" dxfId="16486" priority="49369">
      <formula>IF($B21="VOID",TRUE,FALSE)</formula>
    </cfRule>
    <cfRule type="expression" dxfId="16485" priority="49370">
      <formula>IF($B21="VOID",TRUE,FALSE)</formula>
    </cfRule>
    <cfRule type="expression" dxfId="16484" priority="49371">
      <formula>IF($B21="VOID",TRUE,FALSE)</formula>
    </cfRule>
    <cfRule type="expression" dxfId="16483" priority="49372">
      <formula>IF($B21="VOID",TRUE,FALSE)</formula>
    </cfRule>
    <cfRule type="expression" dxfId="16482" priority="49373">
      <formula>IF($B21="VOID",TRUE,FALSE)</formula>
    </cfRule>
    <cfRule type="expression" dxfId="16481" priority="49374">
      <formula>IF($B21="VOID",TRUE,FALSE)</formula>
    </cfRule>
    <cfRule type="expression" dxfId="16480" priority="49375">
      <formula>IF($B21="VOID",TRUE,FALSE)</formula>
    </cfRule>
    <cfRule type="expression" dxfId="16479" priority="49376">
      <formula>IF($B21="Quoting",TRUE,FALSE)</formula>
    </cfRule>
    <cfRule type="expression" dxfId="16478" priority="49377">
      <formula>IF($B21="Quoting",TRUE,FALSE)</formula>
    </cfRule>
    <cfRule type="expression" dxfId="16477" priority="49378">
      <formula>IF($B21="Quoting",TRUE,FALSE)</formula>
    </cfRule>
    <cfRule type="expression" dxfId="16476" priority="49379">
      <formula>IF($B21="VOID",TRUE,FALSE)</formula>
    </cfRule>
    <cfRule type="expression" dxfId="16475" priority="49380">
      <formula>IF($B21="VOID",TRUE,FALSE)</formula>
    </cfRule>
    <cfRule type="expression" dxfId="16474" priority="49381">
      <formula>IF($B21="Quoting",TRUE,FALSE)</formula>
    </cfRule>
    <cfRule type="expression" dxfId="16473" priority="49382">
      <formula>IF($B21="VOID",TRUE,FALSE)</formula>
    </cfRule>
    <cfRule type="expression" dxfId="16472" priority="49383">
      <formula>IF($B21="VOID",TRUE,FALSE)</formula>
    </cfRule>
    <cfRule type="expression" dxfId="16471" priority="49384">
      <formula>IF($B21="VOID",TRUE,FALSE)</formula>
    </cfRule>
    <cfRule type="expression" dxfId="16470" priority="49385">
      <formula>IF($B21="Quoting",TRUE,FALSE)</formula>
    </cfRule>
    <cfRule type="expression" dxfId="16469" priority="49386">
      <formula>IF($B21="Quoting",TRUE,FALSE)</formula>
    </cfRule>
    <cfRule type="expression" dxfId="16468" priority="49387">
      <formula>IF($B21="Quoting",TRUE,FALSE)</formula>
    </cfRule>
    <cfRule type="expression" dxfId="16467" priority="49388">
      <formula>IF($B21="Quoting",TRUE,FALSE)</formula>
    </cfRule>
    <cfRule type="expression" dxfId="16466" priority="49389">
      <formula>IF($B21="Quoting",TRUE,FALSE)</formula>
    </cfRule>
    <cfRule type="expression" dxfId="16465" priority="49390">
      <formula>IF($B21="VOID",TRUE,FALSE)</formula>
    </cfRule>
    <cfRule type="expression" dxfId="16464" priority="49391">
      <formula>IF($B21="VOID",TRUE,FALSE)</formula>
    </cfRule>
    <cfRule type="expression" dxfId="16463" priority="49392">
      <formula>IF($B21="Quoting",TRUE,FALSE)</formula>
    </cfRule>
    <cfRule type="expression" dxfId="16462" priority="49393">
      <formula>IF($B21="Quoting",TRUE,FALSE)</formula>
    </cfRule>
    <cfRule type="expression" dxfId="16461" priority="49394">
      <formula>IF($B21="VOID",TRUE,FALSE)</formula>
    </cfRule>
    <cfRule type="expression" dxfId="16460" priority="49395">
      <formula>IF($B21="Quoting",TRUE,FALSE)</formula>
    </cfRule>
    <cfRule type="expression" dxfId="16459" priority="49396">
      <formula>IF($B21="VOID",TRUE,FALSE)</formula>
    </cfRule>
    <cfRule type="expression" dxfId="16458" priority="49397">
      <formula>IF($B21="Quoting",TRUE,FALSE)</formula>
    </cfRule>
    <cfRule type="expression" dxfId="16457" priority="49398">
      <formula>IF($B21="Quoting",TRUE,FALSE)</formula>
    </cfRule>
    <cfRule type="expression" dxfId="16456" priority="49399">
      <formula>IF($B21="Quoting",TRUE,FALSE)</formula>
    </cfRule>
    <cfRule type="expression" dxfId="16455" priority="49400">
      <formula>IF($B21="VOID",TRUE,FALSE)</formula>
    </cfRule>
    <cfRule type="expression" dxfId="16454" priority="49401">
      <formula>IF($B21="VOID",TRUE,FALSE)</formula>
    </cfRule>
    <cfRule type="expression" dxfId="16453" priority="49402">
      <formula>IF($B21="VOID",TRUE,FALSE)</formula>
    </cfRule>
    <cfRule type="expression" dxfId="16452" priority="49403">
      <formula>IF($B21="VOID",TRUE,FALSE)</formula>
    </cfRule>
    <cfRule type="expression" dxfId="16451" priority="49404">
      <formula>IF($B21="Quoting",TRUE,FALSE)</formula>
    </cfRule>
    <cfRule type="expression" dxfId="16450" priority="49405">
      <formula>IF($B21="Quoting",TRUE,FALSE)</formula>
    </cfRule>
    <cfRule type="expression" dxfId="16449" priority="49406">
      <formula>IF($B21="Quoting",TRUE,FALSE)</formula>
    </cfRule>
    <cfRule type="expression" dxfId="16448" priority="49407">
      <formula>IF($B21="Quoting",TRUE,FALSE)</formula>
    </cfRule>
    <cfRule type="expression" dxfId="16447" priority="49408">
      <formula>IF($B21="Quoting",TRUE,FALSE)</formula>
    </cfRule>
    <cfRule type="expression" dxfId="16446" priority="49409">
      <formula>IF($B21="VOID",TRUE,FALSE)</formula>
    </cfRule>
    <cfRule type="expression" dxfId="16445" priority="49410">
      <formula>IF($B21="VOID",TRUE,FALSE)</formula>
    </cfRule>
    <cfRule type="expression" dxfId="16444" priority="49411">
      <formula>IF($B21="Quoting",TRUE,FALSE)</formula>
    </cfRule>
    <cfRule type="expression" dxfId="16443" priority="49412">
      <formula>IF($B21="Quoting",TRUE,FALSE)</formula>
    </cfRule>
    <cfRule type="expression" dxfId="16442" priority="49413">
      <formula>IF($B21="Quoting",TRUE,FALSE)</formula>
    </cfRule>
    <cfRule type="expression" dxfId="16441" priority="49414">
      <formula>IF($B21="Quoting",TRUE,FALSE)</formula>
    </cfRule>
    <cfRule type="expression" dxfId="16440" priority="49415">
      <formula>IF($B21="Quoting",TRUE,FALSE)</formula>
    </cfRule>
    <cfRule type="expression" dxfId="16439" priority="49416">
      <formula>IF($B21="VOID",TRUE,FALSE)</formula>
    </cfRule>
    <cfRule type="expression" dxfId="16438" priority="49417">
      <formula>IF($B21="VOID",TRUE,FALSE)</formula>
    </cfRule>
    <cfRule type="expression" dxfId="16437" priority="49418">
      <formula>IF($B21="VOID",TRUE,FALSE)</formula>
    </cfRule>
    <cfRule type="expression" dxfId="16436" priority="49419">
      <formula>IF($B21="VOID",TRUE,FALSE)</formula>
    </cfRule>
    <cfRule type="expression" dxfId="16435" priority="49420">
      <formula>IF($B21="VOID",TRUE,FALSE)</formula>
    </cfRule>
    <cfRule type="expression" dxfId="16434" priority="49421">
      <formula>IF($B21="VOID",TRUE,FALSE)</formula>
    </cfRule>
    <cfRule type="expression" dxfId="16433" priority="49422">
      <formula>IF($B21="VOID",TRUE,FALSE)</formula>
    </cfRule>
    <cfRule type="expression" dxfId="16432" priority="49423">
      <formula>IF($B21="VOID",TRUE,FALSE)</formula>
    </cfRule>
    <cfRule type="expression" dxfId="16431" priority="49424">
      <formula>IF($B21="VOID",TRUE,FALSE)</formula>
    </cfRule>
    <cfRule type="expression" dxfId="16430" priority="49425">
      <formula>IF($B21="VOID",TRUE,FALSE)</formula>
    </cfRule>
    <cfRule type="expression" dxfId="16429" priority="49426">
      <formula>IF($B21="VOID",TRUE,FALSE)</formula>
    </cfRule>
    <cfRule type="expression" dxfId="16428" priority="49427">
      <formula>IF($B21="VOID",TRUE,FALSE)</formula>
    </cfRule>
    <cfRule type="expression" dxfId="16427" priority="49428">
      <formula>IF($B21="VOID",TRUE,FALSE)</formula>
    </cfRule>
    <cfRule type="expression" dxfId="16426" priority="49429">
      <formula>IF($B21="VOID",TRUE,FALSE)</formula>
    </cfRule>
    <cfRule type="expression" dxfId="16425" priority="49430">
      <formula>IF($B21="VOID",TRUE,FALSE)</formula>
    </cfRule>
    <cfRule type="expression" dxfId="16424" priority="49431">
      <formula>IF($B21="VOID",TRUE,FALSE)</formula>
    </cfRule>
    <cfRule type="expression" dxfId="16423" priority="49432">
      <formula>IF($B21="VOID",TRUE,FALSE)</formula>
    </cfRule>
    <cfRule type="expression" dxfId="16422" priority="49433">
      <formula>IF($B21="VOID",TRUE,FALSE)</formula>
    </cfRule>
    <cfRule type="expression" dxfId="16421" priority="49434">
      <formula>IF($B21="VOID",TRUE,FALSE)</formula>
    </cfRule>
    <cfRule type="expression" dxfId="16420" priority="49435">
      <formula>IF($B21="VOID",TRUE,FALSE)</formula>
    </cfRule>
    <cfRule type="expression" dxfId="16419" priority="49436">
      <formula>IF($B21="VOID",TRUE,FALSE)</formula>
    </cfRule>
    <cfRule type="expression" dxfId="16418" priority="49437">
      <formula>IF($B21="VOID",TRUE,FALSE)</formula>
    </cfRule>
    <cfRule type="expression" dxfId="16417" priority="49438">
      <formula>IF($B21="VOID",TRUE,FALSE)</formula>
    </cfRule>
    <cfRule type="expression" dxfId="16416" priority="49439">
      <formula>IF($B21="VOID",TRUE,FALSE)</formula>
    </cfRule>
    <cfRule type="expression" dxfId="16415" priority="49440">
      <formula>IF($B21="VOID",TRUE,FALSE)</formula>
    </cfRule>
    <cfRule type="expression" dxfId="16414" priority="49441">
      <formula>IF($B21="VOID",TRUE,FALSE)</formula>
    </cfRule>
    <cfRule type="expression" dxfId="16413" priority="49442">
      <formula>IF($B21="VOID",TRUE,FALSE)</formula>
    </cfRule>
    <cfRule type="expression" dxfId="16412" priority="49443">
      <formula>IF($B21="VOID",TRUE,FALSE)</formula>
    </cfRule>
    <cfRule type="expression" dxfId="16411" priority="49444">
      <formula>IF($B21="VOID",TRUE,FALSE)</formula>
    </cfRule>
    <cfRule type="expression" dxfId="16410" priority="49445">
      <formula>IF($B21="VOID",TRUE,FALSE)</formula>
    </cfRule>
    <cfRule type="expression" dxfId="16409" priority="49446">
      <formula>IF($B21="Quoting",TRUE,FALSE)</formula>
    </cfRule>
    <cfRule type="expression" dxfId="16408" priority="49447">
      <formula>IF($B21="Quoting",TRUE,FALSE)</formula>
    </cfRule>
    <cfRule type="expression" dxfId="16407" priority="49448">
      <formula>IF($B21="Quoting",TRUE,FALSE)</formula>
    </cfRule>
    <cfRule type="expression" dxfId="16406" priority="49449">
      <formula>IF($B21="VOID",TRUE,FALSE)</formula>
    </cfRule>
    <cfRule type="expression" dxfId="16405" priority="49450">
      <formula>IF($B21="VOID",TRUE,FALSE)</formula>
    </cfRule>
    <cfRule type="expression" dxfId="16404" priority="49451">
      <formula>IF($B21="Quoting",TRUE,FALSE)</formula>
    </cfRule>
    <cfRule type="expression" dxfId="16403" priority="49452">
      <formula>IF($B21="VOID",TRUE,FALSE)</formula>
    </cfRule>
    <cfRule type="expression" dxfId="16402" priority="49453">
      <formula>IF($B21="VOID",TRUE,FALSE)</formula>
    </cfRule>
    <cfRule type="expression" dxfId="16401" priority="49454">
      <formula>IF($B21="VOID",TRUE,FALSE)</formula>
    </cfRule>
    <cfRule type="expression" dxfId="16400" priority="49455">
      <formula>IF($B21="Quoting",TRUE,FALSE)</formula>
    </cfRule>
    <cfRule type="expression" dxfId="16399" priority="49456">
      <formula>IF($B21="Quoting",TRUE,FALSE)</formula>
    </cfRule>
    <cfRule type="expression" dxfId="16398" priority="49457">
      <formula>IF($B21="Quoting",TRUE,FALSE)</formula>
    </cfRule>
    <cfRule type="expression" dxfId="16397" priority="49458">
      <formula>IF($B21="Quoting",TRUE,FALSE)</formula>
    </cfRule>
    <cfRule type="expression" dxfId="16396" priority="49459">
      <formula>IF($B21="Quoting",TRUE,FALSE)</formula>
    </cfRule>
    <cfRule type="expression" dxfId="16395" priority="49460">
      <formula>IF($B21="VOID",TRUE,FALSE)</formula>
    </cfRule>
    <cfRule type="expression" dxfId="16394" priority="49461">
      <formula>IF($B21="VOID",TRUE,FALSE)</formula>
    </cfRule>
    <cfRule type="expression" dxfId="16393" priority="49462">
      <formula>IF($B21="Quoting",TRUE,FALSE)</formula>
    </cfRule>
    <cfRule type="expression" dxfId="16392" priority="49463">
      <formula>IF($B21="Quoting",TRUE,FALSE)</formula>
    </cfRule>
    <cfRule type="expression" dxfId="16391" priority="49464">
      <formula>IF($B21="VOID",TRUE,FALSE)</formula>
    </cfRule>
    <cfRule type="expression" dxfId="16390" priority="49465">
      <formula>IF($B21="Quoting",TRUE,FALSE)</formula>
    </cfRule>
    <cfRule type="expression" dxfId="16389" priority="49466">
      <formula>IF($B21="VOID",TRUE,FALSE)</formula>
    </cfRule>
    <cfRule type="expression" dxfId="16388" priority="49467">
      <formula>IF($B21="Quoting",TRUE,FALSE)</formula>
    </cfRule>
    <cfRule type="expression" dxfId="16387" priority="49468">
      <formula>IF($B21="Quoting",TRUE,FALSE)</formula>
    </cfRule>
    <cfRule type="expression" dxfId="16386" priority="49469">
      <formula>IF($B21="Quoting",TRUE,FALSE)</formula>
    </cfRule>
    <cfRule type="expression" dxfId="16385" priority="49470">
      <formula>IF($B21="VOID",TRUE,FALSE)</formula>
    </cfRule>
    <cfRule type="expression" dxfId="16384" priority="49471">
      <formula>IF($B21="VOID",TRUE,FALSE)</formula>
    </cfRule>
    <cfRule type="expression" dxfId="16383" priority="49472">
      <formula>IF($B21="VOID",TRUE,FALSE)</formula>
    </cfRule>
    <cfRule type="expression" dxfId="16382" priority="49473">
      <formula>IF($B21="VOID",TRUE,FALSE)</formula>
    </cfRule>
    <cfRule type="expression" dxfId="16381" priority="49474">
      <formula>IF($B21="Quoting",TRUE,FALSE)</formula>
    </cfRule>
    <cfRule type="expression" dxfId="16380" priority="49475">
      <formula>IF($B21="Quoting",TRUE,FALSE)</formula>
    </cfRule>
    <cfRule type="expression" dxfId="16379" priority="49476">
      <formula>IF($B21="Quoting",TRUE,FALSE)</formula>
    </cfRule>
    <cfRule type="expression" dxfId="16378" priority="49477">
      <formula>IF($B21="Quoting",TRUE,FALSE)</formula>
    </cfRule>
    <cfRule type="expression" dxfId="16377" priority="49478">
      <formula>IF($B21="Quoting",TRUE,FALSE)</formula>
    </cfRule>
    <cfRule type="expression" dxfId="16376" priority="49479">
      <formula>IF($B21="VOID",TRUE,FALSE)</formula>
    </cfRule>
    <cfRule type="expression" dxfId="16375" priority="49480">
      <formula>IF($B21="VOID",TRUE,FALSE)</formula>
    </cfRule>
    <cfRule type="expression" dxfId="16374" priority="49481">
      <formula>IF($B21="Quoting",TRUE,FALSE)</formula>
    </cfRule>
    <cfRule type="expression" dxfId="16373" priority="49482">
      <formula>IF($B21="Quoting",TRUE,FALSE)</formula>
    </cfRule>
    <cfRule type="expression" dxfId="16372" priority="49483">
      <formula>IF($B21="Quoting",TRUE,FALSE)</formula>
    </cfRule>
    <cfRule type="expression" dxfId="16371" priority="49484">
      <formula>IF($B21="Quoting",TRUE,FALSE)</formula>
    </cfRule>
    <cfRule type="expression" dxfId="16370" priority="49485">
      <formula>IF($B21="Quoting",TRUE,FALSE)</formula>
    </cfRule>
    <cfRule type="expression" dxfId="16369" priority="49486">
      <formula>IF($B21="VOID",TRUE,FALSE)</formula>
    </cfRule>
    <cfRule type="expression" dxfId="16368" priority="49487">
      <formula>IF($B21="VOID",TRUE,FALSE)</formula>
    </cfRule>
    <cfRule type="expression" dxfId="16367" priority="49488">
      <formula>IF($B21="VOID",TRUE,FALSE)</formula>
    </cfRule>
    <cfRule type="expression" dxfId="16366" priority="49489">
      <formula>IF($B21="VOID",TRUE,FALSE)</formula>
    </cfRule>
    <cfRule type="expression" dxfId="16365" priority="49490">
      <formula>IF($B21="VOID",TRUE,FALSE)</formula>
    </cfRule>
    <cfRule type="expression" dxfId="16364" priority="49491">
      <formula>IF($B21="VOID",TRUE,FALSE)</formula>
    </cfRule>
    <cfRule type="expression" dxfId="16363" priority="49492">
      <formula>IF($B21="VOID",TRUE,FALSE)</formula>
    </cfRule>
    <cfRule type="expression" dxfId="16362" priority="49493">
      <formula>IF($B21="VOID",TRUE,FALSE)</formula>
    </cfRule>
    <cfRule type="expression" dxfId="16361" priority="49494">
      <formula>IF($B21="VOID",TRUE,FALSE)</formula>
    </cfRule>
    <cfRule type="expression" dxfId="16360" priority="49495">
      <formula>IF($B21="Quoting",TRUE,FALSE)</formula>
    </cfRule>
    <cfRule type="expression" dxfId="16359" priority="49498">
      <formula>IF($B21="Quoting",TRUE,FALSE)</formula>
    </cfRule>
  </conditionalFormatting>
  <conditionalFormatting sqref="E23">
    <cfRule type="expression" dxfId="16358" priority="49304">
      <formula>IF($B23="VOID",TRUE,FALSE)</formula>
    </cfRule>
    <cfRule type="expression" dxfId="16357" priority="49305">
      <formula>IF($B23="VOID",TRUE,FALSE)</formula>
    </cfRule>
    <cfRule type="expression" dxfId="16356" priority="49306">
      <formula>IF($B23="VOID",TRUE,FALSE)</formula>
    </cfRule>
    <cfRule type="expression" dxfId="16355" priority="49307">
      <formula>IF($B23="VOID",TRUE,FALSE)</formula>
    </cfRule>
    <cfRule type="expression" dxfId="16354" priority="49308">
      <formula>IF($B23="Quoting",TRUE,FALSE)</formula>
    </cfRule>
    <cfRule type="expression" dxfId="16353" priority="49309">
      <formula>IF($B23="Quoting",TRUE,FALSE)</formula>
    </cfRule>
    <cfRule type="expression" dxfId="16352" priority="49310">
      <formula>IF($B23="Quoting",TRUE,FALSE)</formula>
    </cfRule>
    <cfRule type="expression" dxfId="16351" priority="49311">
      <formula>IF($B23="Quoting",TRUE,FALSE)</formula>
    </cfRule>
    <cfRule type="expression" dxfId="16350" priority="49312">
      <formula>IF($B23="Quoting",TRUE,FALSE)</formula>
    </cfRule>
    <cfRule type="expression" dxfId="16349" priority="49313">
      <formula>IF($B23="VOID",TRUE,FALSE)</formula>
    </cfRule>
    <cfRule type="expression" dxfId="16348" priority="49314">
      <formula>IF($B23="VOID",TRUE,FALSE)</formula>
    </cfRule>
    <cfRule type="expression" dxfId="16347" priority="49315">
      <formula>IF($B23="Quoting",TRUE,FALSE)</formula>
    </cfRule>
    <cfRule type="expression" dxfId="16346" priority="49316">
      <formula>IF($B23="Quoting",TRUE,FALSE)</formula>
    </cfRule>
    <cfRule type="expression" dxfId="16345" priority="49317">
      <formula>IF($B23="Quoting",TRUE,FALSE)</formula>
    </cfRule>
    <cfRule type="expression" dxfId="16344" priority="49318">
      <formula>IF($B23="Quoting",TRUE,FALSE)</formula>
    </cfRule>
    <cfRule type="expression" dxfId="16343" priority="49319">
      <formula>IF($B23="Quoting",TRUE,FALSE)</formula>
    </cfRule>
    <cfRule type="expression" dxfId="16342" priority="49320">
      <formula>IF($B23="VOID",TRUE,FALSE)</formula>
    </cfRule>
    <cfRule type="expression" dxfId="16341" priority="49321">
      <formula>IF($B23="VOID",TRUE,FALSE)</formula>
    </cfRule>
    <cfRule type="expression" dxfId="16340" priority="49322">
      <formula>IF($B23="Quoting",TRUE,FALSE)</formula>
    </cfRule>
    <cfRule type="expression" dxfId="16339" priority="49323">
      <formula>IF($B23="VOID",TRUE,FALSE)</formula>
    </cfRule>
    <cfRule type="expression" dxfId="16338" priority="49324">
      <formula>IF($B23="VOID",TRUE,FALSE)</formula>
    </cfRule>
    <cfRule type="expression" dxfId="16337" priority="49325">
      <formula>IF($B23="VOID",TRUE,FALSE)</formula>
    </cfRule>
    <cfRule type="expression" dxfId="16336" priority="49326">
      <formula>IF($B23="VOID",TRUE,FALSE)</formula>
    </cfRule>
    <cfRule type="expression" dxfId="16335" priority="49327">
      <formula>IF($B23="VOID",TRUE,FALSE)</formula>
    </cfRule>
    <cfRule type="expression" dxfId="16334" priority="49328">
      <formula>IF($B23="VOID",TRUE,FALSE)</formula>
    </cfRule>
    <cfRule type="expression" dxfId="16333" priority="49329">
      <formula>IF($B23="Quoting",TRUE,FALSE)</formula>
    </cfRule>
    <cfRule type="expression" dxfId="16332" priority="49330">
      <formula>IF($B23="Quoting",TRUE,FALSE)</formula>
    </cfRule>
    <cfRule type="expression" dxfId="16331" priority="49331">
      <formula>IF($B23="Quoting",TRUE,FALSE)</formula>
    </cfRule>
    <cfRule type="expression" dxfId="16330" priority="49332">
      <formula>IF($B23="Quoting",TRUE,FALSE)</formula>
    </cfRule>
    <cfRule type="expression" dxfId="16329" priority="49333">
      <formula>IF($B23="Quoting",TRUE,FALSE)</formula>
    </cfRule>
    <cfRule type="expression" dxfId="16328" priority="49334">
      <formula>IF($B23="VOID",TRUE,FALSE)</formula>
    </cfRule>
    <cfRule type="expression" dxfId="16327" priority="49335">
      <formula>IF($B23="Quoting",TRUE,FALSE)</formula>
    </cfRule>
    <cfRule type="expression" dxfId="16326" priority="49336">
      <formula>IF($B23="Quoting",TRUE,FALSE)</formula>
    </cfRule>
    <cfRule type="expression" dxfId="16325" priority="49337">
      <formula>IF($B23="VOID",TRUE,FALSE)</formula>
    </cfRule>
  </conditionalFormatting>
  <conditionalFormatting sqref="E24">
    <cfRule type="expression" dxfId="16324" priority="49119">
      <formula>IF($B24="Quoting",TRUE,FALSE)</formula>
    </cfRule>
    <cfRule type="expression" dxfId="16323" priority="49120">
      <formula>IF($B24="Quoting",TRUE,FALSE)</formula>
    </cfRule>
    <cfRule type="expression" dxfId="16322" priority="49121">
      <formula>IF($B24="Quoting",TRUE,FALSE)</formula>
    </cfRule>
    <cfRule type="expression" dxfId="16321" priority="49122">
      <formula>IF($B24="Quoting",TRUE,FALSE)</formula>
    </cfRule>
    <cfRule type="expression" dxfId="16320" priority="49123">
      <formula>IF($B24="Quoting",TRUE,FALSE)</formula>
    </cfRule>
    <cfRule type="expression" dxfId="16319" priority="49124">
      <formula>IF($B24="Quoting",TRUE,FALSE)</formula>
    </cfRule>
    <cfRule type="expression" dxfId="16318" priority="49125">
      <formula>IF($B24="Quoting",TRUE,FALSE)</formula>
    </cfRule>
    <cfRule type="expression" dxfId="16317" priority="49126">
      <formula>IF($B24="Quoting",TRUE,FALSE)</formula>
    </cfRule>
    <cfRule type="expression" dxfId="16316" priority="49127">
      <formula>IF($B24="Quoting",TRUE,FALSE)</formula>
    </cfRule>
    <cfRule type="expression" dxfId="16315" priority="49128">
      <formula>IF($B24="Quoting",TRUE,FALSE)</formula>
    </cfRule>
    <cfRule type="expression" dxfId="16314" priority="49129">
      <formula>IF($B24="Quoting",TRUE,FALSE)</formula>
    </cfRule>
    <cfRule type="expression" dxfId="16313" priority="49130">
      <formula>IF($B24="Quoting",TRUE,FALSE)</formula>
    </cfRule>
  </conditionalFormatting>
  <conditionalFormatting sqref="E25:E26">
    <cfRule type="expression" dxfId="16312" priority="49052">
      <formula>IF($B25="Quoting",TRUE,FALSE)</formula>
    </cfRule>
  </conditionalFormatting>
  <conditionalFormatting sqref="E28">
    <cfRule type="expression" dxfId="16311" priority="47602">
      <formula>IF($B28="Quoting",TRUE,FALSE)</formula>
    </cfRule>
    <cfRule type="expression" dxfId="16310" priority="47603">
      <formula>IF($B28="VOID",TRUE,FALSE)</formula>
    </cfRule>
    <cfRule type="expression" dxfId="16309" priority="47604">
      <formula>IF($B28="VOID",TRUE,FALSE)</formula>
    </cfRule>
    <cfRule type="expression" dxfId="16308" priority="47605">
      <formula>IF($B28="Larry",TRUE,FALSE)</formula>
    </cfRule>
    <cfRule type="expression" dxfId="16307" priority="47606">
      <formula>IF($B28="Larry",TRUE,FALSE)</formula>
    </cfRule>
    <cfRule type="expression" dxfId="16306" priority="48814">
      <formula>IF($B28="Quoting",TRUE,FALSE)</formula>
    </cfRule>
    <cfRule type="expression" dxfId="16305" priority="48815">
      <formula>IF($B28="Quoting",TRUE,FALSE)</formula>
    </cfRule>
    <cfRule type="expression" dxfId="16304" priority="48816">
      <formula>IF($B28="Quoting",TRUE,FALSE)</formula>
    </cfRule>
    <cfRule type="expression" dxfId="16303" priority="48817">
      <formula>IF($B28="Quoting",TRUE,FALSE)</formula>
    </cfRule>
    <cfRule type="expression" dxfId="16302" priority="48818">
      <formula>IF($B28="Quoting",TRUE,FALSE)</formula>
    </cfRule>
    <cfRule type="expression" dxfId="16301" priority="48819">
      <formula>IF($B28="Quoting",TRUE,FALSE)</formula>
    </cfRule>
    <cfRule type="expression" dxfId="16300" priority="48820">
      <formula>IF($B28="Quoting",TRUE,FALSE)</formula>
    </cfRule>
    <cfRule type="expression" dxfId="16299" priority="48821">
      <formula>IF($B28="Quoting",TRUE,FALSE)</formula>
    </cfRule>
    <cfRule type="expression" dxfId="16298" priority="48822">
      <formula>IF($B28="Quoting",TRUE,FALSE)</formula>
    </cfRule>
    <cfRule type="expression" dxfId="16297" priority="48823">
      <formula>IF($B28="Quoting",TRUE,FALSE)</formula>
    </cfRule>
    <cfRule type="expression" dxfId="16296" priority="48824">
      <formula>IF($B28="Quoting",TRUE,FALSE)</formula>
    </cfRule>
    <cfRule type="expression" dxfId="16295" priority="48825">
      <formula>IF($B28="Quoting",TRUE,FALSE)</formula>
    </cfRule>
    <cfRule type="expression" dxfId="16294" priority="48826">
      <formula>IF($B28="Quoting",TRUE,FALSE)</formula>
    </cfRule>
    <cfRule type="expression" dxfId="16293" priority="48827">
      <formula>IF($B28="Quoting",TRUE,FALSE)</formula>
    </cfRule>
    <cfRule type="expression" dxfId="16292" priority="48828">
      <formula>IF($B28="Quoting",TRUE,FALSE)</formula>
    </cfRule>
    <cfRule type="expression" dxfId="16291" priority="48829">
      <formula>IF($B28="Quoting",TRUE,FALSE)</formula>
    </cfRule>
    <cfRule type="expression" dxfId="16290" priority="48830">
      <formula>IF($B28="Quoting",TRUE,FALSE)</formula>
    </cfRule>
    <cfRule type="expression" dxfId="16289" priority="48831">
      <formula>IF($B28="Quoting",TRUE,FALSE)</formula>
    </cfRule>
    <cfRule type="expression" dxfId="16288" priority="48832">
      <formula>IF($B28="Quoting",TRUE,FALSE)</formula>
    </cfRule>
    <cfRule type="expression" dxfId="16287" priority="48833">
      <formula>IF($B28="Quoting",TRUE,FALSE)</formula>
    </cfRule>
    <cfRule type="expression" dxfId="16286" priority="48834">
      <formula>IF($B28="VOID",TRUE,FALSE)</formula>
    </cfRule>
    <cfRule type="expression" dxfId="16285" priority="48835">
      <formula>IF($B28="Quoting",TRUE,FALSE)</formula>
    </cfRule>
    <cfRule type="expression" dxfId="16284" priority="48836">
      <formula>IF($B28="Quoting",TRUE,FALSE)</formula>
    </cfRule>
    <cfRule type="expression" dxfId="16283" priority="48837">
      <formula>IF($B28="Quoting",TRUE,FALSE)</formula>
    </cfRule>
    <cfRule type="expression" dxfId="16282" priority="48838">
      <formula>IF($B28="Quoting",TRUE,FALSE)</formula>
    </cfRule>
    <cfRule type="expression" dxfId="16281" priority="48839">
      <formula>IF($B28="Quoting",TRUE,FALSE)</formula>
    </cfRule>
    <cfRule type="expression" dxfId="16280" priority="48840">
      <formula>IF($B28="Quoting",TRUE,FALSE)</formula>
    </cfRule>
    <cfRule type="expression" dxfId="16279" priority="48841">
      <formula>IF($B28="Quoting",TRUE,FALSE)</formula>
    </cfRule>
    <cfRule type="expression" dxfId="16278" priority="48842">
      <formula>IF($B28="Quoting",TRUE,FALSE)</formula>
    </cfRule>
    <cfRule type="expression" dxfId="16277" priority="48843">
      <formula>IF($B28="Quoting",TRUE,FALSE)</formula>
    </cfRule>
    <cfRule type="expression" dxfId="16276" priority="48844">
      <formula>IF($B28="Quoting",TRUE,FALSE)</formula>
    </cfRule>
    <cfRule type="expression" dxfId="16275" priority="48845">
      <formula>IF($B28="Quoting",TRUE,FALSE)</formula>
    </cfRule>
    <cfRule type="expression" dxfId="16274" priority="48846">
      <formula>IF($B28="Quoting",TRUE,FALSE)</formula>
    </cfRule>
  </conditionalFormatting>
  <conditionalFormatting sqref="E30">
    <cfRule type="expression" dxfId="16273" priority="26519">
      <formula>IF($B30="VOID",TRUE,FALSE)</formula>
    </cfRule>
    <cfRule type="expression" dxfId="16272" priority="26520">
      <formula>IF($B30="VOID",TRUE,FALSE)</formula>
    </cfRule>
    <cfRule type="expression" dxfId="16271" priority="26521">
      <formula>IF($B30="VOID",TRUE,FALSE)</formula>
    </cfRule>
    <cfRule type="expression" dxfId="16270" priority="26522">
      <formula>IF($B30="VOID",TRUE,FALSE)</formula>
    </cfRule>
    <cfRule type="expression" dxfId="16269" priority="26523">
      <formula>IF($B30="VOID",TRUE,FALSE)</formula>
    </cfRule>
    <cfRule type="expression" dxfId="16268" priority="26524">
      <formula>IF($B30="VOID",TRUE,FALSE)</formula>
    </cfRule>
    <cfRule type="expression" dxfId="16267" priority="26525">
      <formula>IF($B30="VOID",TRUE,FALSE)</formula>
    </cfRule>
    <cfRule type="expression" dxfId="16266" priority="26526">
      <formula>IF($B30="VOID",TRUE,FALSE)</formula>
    </cfRule>
    <cfRule type="expression" dxfId="16265" priority="26527">
      <formula>IF($B30="VOID",TRUE,FALSE)</formula>
    </cfRule>
    <cfRule type="expression" dxfId="16264" priority="26528">
      <formula>IF($B30="VOID",TRUE,FALSE)</formula>
    </cfRule>
    <cfRule type="expression" dxfId="16263" priority="26529">
      <formula>IF($B30="VOID",TRUE,FALSE)</formula>
    </cfRule>
    <cfRule type="expression" dxfId="16262" priority="26530">
      <formula>IF($B30="VOID",TRUE,FALSE)</formula>
    </cfRule>
    <cfRule type="expression" dxfId="16261" priority="26531">
      <formula>IF($B30="Quoting",TRUE,FALSE)</formula>
    </cfRule>
    <cfRule type="expression" dxfId="16260" priority="26532">
      <formula>IF($B30="Quoting",TRUE,FALSE)</formula>
    </cfRule>
    <cfRule type="expression" dxfId="16259" priority="26533">
      <formula>IF($B30="Quoting",TRUE,FALSE)</formula>
    </cfRule>
    <cfRule type="expression" dxfId="16258" priority="26534">
      <formula>IF($B30="VOID",TRUE,FALSE)</formula>
    </cfRule>
    <cfRule type="expression" dxfId="16257" priority="26535">
      <formula>IF($B30="VOID",TRUE,FALSE)</formula>
    </cfRule>
    <cfRule type="expression" dxfId="16256" priority="26536">
      <formula>IF($B30="Quoting",TRUE,FALSE)</formula>
    </cfRule>
    <cfRule type="expression" dxfId="16255" priority="26537">
      <formula>IF($B30="VOID",TRUE,FALSE)</formula>
    </cfRule>
    <cfRule type="expression" dxfId="16254" priority="26538">
      <formula>IF($B30="VOID",TRUE,FALSE)</formula>
    </cfRule>
    <cfRule type="expression" dxfId="16253" priority="26539">
      <formula>IF($B30="VOID",TRUE,FALSE)</formula>
    </cfRule>
    <cfRule type="expression" dxfId="16252" priority="26540">
      <formula>IF($B30="Quoting",TRUE,FALSE)</formula>
    </cfRule>
    <cfRule type="expression" dxfId="16251" priority="26541">
      <formula>IF($B30="Quoting",TRUE,FALSE)</formula>
    </cfRule>
    <cfRule type="expression" dxfId="16250" priority="26542">
      <formula>IF($B30="Quoting",TRUE,FALSE)</formula>
    </cfRule>
    <cfRule type="expression" dxfId="16249" priority="26543">
      <formula>IF($B30="Quoting",TRUE,FALSE)</formula>
    </cfRule>
    <cfRule type="expression" dxfId="16248" priority="26544">
      <formula>IF($B30="Quoting",TRUE,FALSE)</formula>
    </cfRule>
    <cfRule type="expression" dxfId="16247" priority="26545">
      <formula>IF($B30="VOID",TRUE,FALSE)</formula>
    </cfRule>
    <cfRule type="expression" dxfId="16246" priority="26546">
      <formula>IF($B30="VOID",TRUE,FALSE)</formula>
    </cfRule>
    <cfRule type="expression" dxfId="16245" priority="26547">
      <formula>IF($B30="Quoting",TRUE,FALSE)</formula>
    </cfRule>
    <cfRule type="expression" dxfId="16244" priority="26548">
      <formula>IF($B30="Quoting",TRUE,FALSE)</formula>
    </cfRule>
    <cfRule type="expression" dxfId="16243" priority="26549">
      <formula>IF($B30="VOID",TRUE,FALSE)</formula>
    </cfRule>
    <cfRule type="expression" dxfId="16242" priority="26550">
      <formula>IF($B30="Quoting",TRUE,FALSE)</formula>
    </cfRule>
    <cfRule type="expression" dxfId="16241" priority="26551">
      <formula>IF($B30="VOID",TRUE,FALSE)</formula>
    </cfRule>
    <cfRule type="expression" dxfId="16240" priority="26552">
      <formula>IF($B30="Quoting",TRUE,FALSE)</formula>
    </cfRule>
    <cfRule type="expression" dxfId="16239" priority="26553">
      <formula>IF($B30="Quoting",TRUE,FALSE)</formula>
    </cfRule>
    <cfRule type="expression" dxfId="16238" priority="26554">
      <formula>IF($B30="Quoting",TRUE,FALSE)</formula>
    </cfRule>
    <cfRule type="expression" dxfId="16237" priority="26555">
      <formula>IF($B30="VOID",TRUE,FALSE)</formula>
    </cfRule>
    <cfRule type="expression" dxfId="16236" priority="26556">
      <formula>IF($B30="VOID",TRUE,FALSE)</formula>
    </cfRule>
    <cfRule type="expression" dxfId="16235" priority="26557">
      <formula>IF($B30="VOID",TRUE,FALSE)</formula>
    </cfRule>
    <cfRule type="expression" dxfId="16234" priority="26558">
      <formula>IF($B30="VOID",TRUE,FALSE)</formula>
    </cfRule>
    <cfRule type="expression" dxfId="16233" priority="26559">
      <formula>IF($B30="Quoting",TRUE,FALSE)</formula>
    </cfRule>
    <cfRule type="expression" dxfId="16232" priority="26560">
      <formula>IF($B30="Quoting",TRUE,FALSE)</formula>
    </cfRule>
    <cfRule type="expression" dxfId="16231" priority="26561">
      <formula>IF($B30="Quoting",TRUE,FALSE)</formula>
    </cfRule>
    <cfRule type="expression" dxfId="16230" priority="26562">
      <formula>IF($B30="Quoting",TRUE,FALSE)</formula>
    </cfRule>
    <cfRule type="expression" dxfId="16229" priority="26563">
      <formula>IF($B30="Quoting",TRUE,FALSE)</formula>
    </cfRule>
    <cfRule type="expression" dxfId="16228" priority="26564">
      <formula>IF($B30="VOID",TRUE,FALSE)</formula>
    </cfRule>
    <cfRule type="expression" dxfId="16227" priority="26565">
      <formula>IF($B30="VOID",TRUE,FALSE)</formula>
    </cfRule>
    <cfRule type="expression" dxfId="16226" priority="26566">
      <formula>IF($B30="Quoting",TRUE,FALSE)</formula>
    </cfRule>
    <cfRule type="expression" dxfId="16225" priority="26567">
      <formula>IF($B30="Quoting",TRUE,FALSE)</formula>
    </cfRule>
    <cfRule type="expression" dxfId="16224" priority="26568">
      <formula>IF($B30="Quoting",TRUE,FALSE)</formula>
    </cfRule>
    <cfRule type="expression" dxfId="16223" priority="26569">
      <formula>IF($B30="Quoting",TRUE,FALSE)</formula>
    </cfRule>
    <cfRule type="expression" dxfId="16222" priority="26570">
      <formula>IF($B30="Quoting",TRUE,FALSE)</formula>
    </cfRule>
    <cfRule type="expression" dxfId="16221" priority="26571">
      <formula>IF($B30="VOID",TRUE,FALSE)</formula>
    </cfRule>
    <cfRule type="expression" dxfId="16220" priority="26572">
      <formula>IF($B30="VOID",TRUE,FALSE)</formula>
    </cfRule>
    <cfRule type="expression" dxfId="16219" priority="26573">
      <formula>IF($B30="VOID",TRUE,FALSE)</formula>
    </cfRule>
    <cfRule type="expression" dxfId="16218" priority="26574">
      <formula>IF($B30="VOID",TRUE,FALSE)</formula>
    </cfRule>
    <cfRule type="expression" dxfId="16217" priority="26575">
      <formula>IF($B30="VOID",TRUE,FALSE)</formula>
    </cfRule>
    <cfRule type="expression" dxfId="16216" priority="26576">
      <formula>IF($B30="VOID",TRUE,FALSE)</formula>
    </cfRule>
    <cfRule type="expression" dxfId="16215" priority="26577">
      <formula>IF($B30="VOID",TRUE,FALSE)</formula>
    </cfRule>
    <cfRule type="expression" dxfId="16214" priority="26578">
      <formula>IF($B30="VOID",TRUE,FALSE)</formula>
    </cfRule>
    <cfRule type="expression" dxfId="16213" priority="26579">
      <formula>IF($B30="VOID",TRUE,FALSE)</formula>
    </cfRule>
    <cfRule type="expression" dxfId="16212" priority="26721">
      <formula>IF($B30="Quoting",TRUE,FALSE)</formula>
    </cfRule>
    <cfRule type="expression" dxfId="16211" priority="26722">
      <formula>IF($B30="Quoting",TRUE,FALSE)</formula>
    </cfRule>
    <cfRule type="expression" dxfId="16210" priority="26723">
      <formula>IF($B30="Quoting",TRUE,FALSE)</formula>
    </cfRule>
    <cfRule type="expression" dxfId="16209" priority="26724">
      <formula>IF($B30="Quoting",TRUE,FALSE)</formula>
    </cfRule>
  </conditionalFormatting>
  <conditionalFormatting sqref="E32">
    <cfRule type="expression" dxfId="16208" priority="24049">
      <formula>IF($B32="Quoting",TRUE,FALSE)</formula>
    </cfRule>
  </conditionalFormatting>
  <conditionalFormatting sqref="E30:F30">
    <cfRule type="expression" dxfId="16207" priority="26511">
      <formula>IF($B30="VOID",TRUE,FALSE)</formula>
    </cfRule>
    <cfRule type="expression" dxfId="16206" priority="26512">
      <formula>IF($B30="VOID",TRUE,FALSE)</formula>
    </cfRule>
    <cfRule type="expression" dxfId="16205" priority="26513">
      <formula>IF($B30="VOID",TRUE,FALSE)</formula>
    </cfRule>
    <cfRule type="expression" dxfId="16204" priority="26514">
      <formula>IF($B30="VOID",TRUE,FALSE)</formula>
    </cfRule>
    <cfRule type="expression" dxfId="16203" priority="26515">
      <formula>IF($B30="VOID",TRUE,FALSE)</formula>
    </cfRule>
    <cfRule type="expression" dxfId="16202" priority="26516">
      <formula>IF($B30="VOID",TRUE,FALSE)</formula>
    </cfRule>
    <cfRule type="expression" dxfId="16201" priority="26517">
      <formula>IF($B30="VOID",TRUE,FALSE)</formula>
    </cfRule>
    <cfRule type="expression" dxfId="16200" priority="26518">
      <formula>IF($B30="VOID",TRUE,FALSE)</formula>
    </cfRule>
    <cfRule type="expression" dxfId="16199" priority="26720">
      <formula>IF($B30="Quoting",TRUE,FALSE)</formula>
    </cfRule>
  </conditionalFormatting>
  <conditionalFormatting sqref="E35:F35">
    <cfRule type="expression" dxfId="16198" priority="23464">
      <formula>IF($B35="Quoting",TRUE,FALSE)</formula>
    </cfRule>
  </conditionalFormatting>
  <conditionalFormatting sqref="E36:F36">
    <cfRule type="expression" dxfId="16197" priority="16212">
      <formula>IF($B36="Quoting",TRUE,FALSE)</formula>
    </cfRule>
    <cfRule type="expression" dxfId="16196" priority="16213">
      <formula>IF($B36="Quoting",TRUE,FALSE)</formula>
    </cfRule>
    <cfRule type="expression" dxfId="16195" priority="16214">
      <formula>IF($B36="Quoting",TRUE,FALSE)</formula>
    </cfRule>
    <cfRule type="expression" dxfId="16194" priority="16215">
      <formula>IF($B36="Quoting",TRUE,FALSE)</formula>
    </cfRule>
  </conditionalFormatting>
  <conditionalFormatting sqref="E37:F37">
    <cfRule type="expression" dxfId="16193" priority="4134">
      <formula>IF($B37="Quoting",TRUE,FALSE)</formula>
    </cfRule>
    <cfRule type="expression" dxfId="16192" priority="4135">
      <formula>IF($B37="Quoting",TRUE,FALSE)</formula>
    </cfRule>
  </conditionalFormatting>
  <conditionalFormatting sqref="E5:G5">
    <cfRule type="expression" dxfId="16191" priority="51798">
      <formula>IF($B5="VOID",TRUE,FALSE)</formula>
    </cfRule>
    <cfRule type="expression" dxfId="16190" priority="51799">
      <formula>IF($B5="VOID",TRUE,FALSE)</formula>
    </cfRule>
    <cfRule type="expression" dxfId="16189" priority="51800">
      <formula>IF($B5="VOID",TRUE,FALSE)</formula>
    </cfRule>
    <cfRule type="expression" dxfId="16188" priority="51801">
      <formula>IF($B5="VOID",TRUE,FALSE)</formula>
    </cfRule>
    <cfRule type="expression" dxfId="16187" priority="51802">
      <formula>IF($B5="VOID",TRUE,FALSE)</formula>
    </cfRule>
    <cfRule type="expression" dxfId="16186" priority="51803">
      <formula>IF($B5="VOID",TRUE,FALSE)</formula>
    </cfRule>
    <cfRule type="expression" dxfId="16185" priority="51804">
      <formula>IF($B5="VOID",TRUE,FALSE)</formula>
    </cfRule>
    <cfRule type="expression" dxfId="16184" priority="51805">
      <formula>IF($B5="VOID",TRUE,FALSE)</formula>
    </cfRule>
  </conditionalFormatting>
  <conditionalFormatting sqref="E6:G6">
    <cfRule type="expression" dxfId="16183" priority="51755">
      <formula>IF($B6="VOID",TRUE,FALSE)</formula>
    </cfRule>
    <cfRule type="expression" dxfId="16182" priority="51756">
      <formula>IF($B6="VOID",TRUE,FALSE)</formula>
    </cfRule>
    <cfRule type="expression" dxfId="16181" priority="51757">
      <formula>IF($B6="VOID",TRUE,FALSE)</formula>
    </cfRule>
    <cfRule type="expression" dxfId="16180" priority="51758">
      <formula>IF($B6="VOID",TRUE,FALSE)</formula>
    </cfRule>
    <cfRule type="expression" dxfId="16179" priority="51759">
      <formula>IF($B6="VOID",TRUE,FALSE)</formula>
    </cfRule>
    <cfRule type="expression" dxfId="16178" priority="51760">
      <formula>IF($B6="VOID",TRUE,FALSE)</formula>
    </cfRule>
    <cfRule type="expression" dxfId="16177" priority="51761">
      <formula>IF($B6="VOID",TRUE,FALSE)</formula>
    </cfRule>
    <cfRule type="expression" dxfId="16176" priority="51762">
      <formula>IF($B6="VOID",TRUE,FALSE)</formula>
    </cfRule>
  </conditionalFormatting>
  <conditionalFormatting sqref="E8:G8">
    <cfRule type="expression" dxfId="16175" priority="51129">
      <formula>IF($B8="VOID",TRUE,FALSE)</formula>
    </cfRule>
    <cfRule type="expression" dxfId="16174" priority="51130">
      <formula>IF($B8="VOID",TRUE,FALSE)</formula>
    </cfRule>
    <cfRule type="expression" dxfId="16173" priority="51131">
      <formula>IF($B8="VOID",TRUE,FALSE)</formula>
    </cfRule>
    <cfRule type="expression" dxfId="16172" priority="51132">
      <formula>IF($B8="VOID",TRUE,FALSE)</formula>
    </cfRule>
    <cfRule type="expression" dxfId="16171" priority="51133">
      <formula>IF($B8="VOID",TRUE,FALSE)</formula>
    </cfRule>
    <cfRule type="expression" dxfId="16170" priority="51134">
      <formula>IF($B8="VOID",TRUE,FALSE)</formula>
    </cfRule>
    <cfRule type="expression" dxfId="16169" priority="51135">
      <formula>IF($B8="VOID",TRUE,FALSE)</formula>
    </cfRule>
    <cfRule type="expression" dxfId="16168" priority="51136">
      <formula>IF($B8="VOID",TRUE,FALSE)</formula>
    </cfRule>
  </conditionalFormatting>
  <conditionalFormatting sqref="E10:G10">
    <cfRule type="expression" dxfId="16167" priority="50568">
      <formula>IF($B10="VOID",TRUE,FALSE)</formula>
    </cfRule>
    <cfRule type="expression" dxfId="16166" priority="50569">
      <formula>IF($B10="VOID",TRUE,FALSE)</formula>
    </cfRule>
    <cfRule type="expression" dxfId="16165" priority="50570">
      <formula>IF($B10="VOID",TRUE,FALSE)</formula>
    </cfRule>
    <cfRule type="expression" dxfId="16164" priority="50571">
      <formula>IF($B10="VOID",TRUE,FALSE)</formula>
    </cfRule>
    <cfRule type="expression" dxfId="16163" priority="50572">
      <formula>IF($B10="VOID",TRUE,FALSE)</formula>
    </cfRule>
    <cfRule type="expression" dxfId="16162" priority="50573">
      <formula>IF($B10="VOID",TRUE,FALSE)</formula>
    </cfRule>
    <cfRule type="expression" dxfId="16161" priority="50574">
      <formula>IF($B10="VOID",TRUE,FALSE)</formula>
    </cfRule>
    <cfRule type="expression" dxfId="16160" priority="50575">
      <formula>IF($B10="VOID",TRUE,FALSE)</formula>
    </cfRule>
  </conditionalFormatting>
  <conditionalFormatting sqref="E24:G24">
    <cfRule type="expression" dxfId="16159" priority="49118">
      <formula>IF($B24="Quoting",TRUE,FALSE)</formula>
    </cfRule>
  </conditionalFormatting>
  <conditionalFormatting sqref="E28:G28">
    <cfRule type="expression" dxfId="16158" priority="48813">
      <formula>IF($B28="Quoting",TRUE,FALSE)</formula>
    </cfRule>
  </conditionalFormatting>
  <conditionalFormatting sqref="E30:G30">
    <cfRule type="expression" dxfId="16157" priority="26503">
      <formula>IF($B30="VOID",TRUE,FALSE)</formula>
    </cfRule>
    <cfRule type="expression" dxfId="16156" priority="26504">
      <formula>IF($B30="VOID",TRUE,FALSE)</formula>
    </cfRule>
    <cfRule type="expression" dxfId="16155" priority="26505">
      <formula>IF($B30="VOID",TRUE,FALSE)</formula>
    </cfRule>
    <cfRule type="expression" dxfId="16154" priority="26506">
      <formula>IF($B30="VOID",TRUE,FALSE)</formula>
    </cfRule>
    <cfRule type="expression" dxfId="16153" priority="26507">
      <formula>IF($B30="VOID",TRUE,FALSE)</formula>
    </cfRule>
    <cfRule type="expression" dxfId="16152" priority="26508">
      <formula>IF($B30="VOID",TRUE,FALSE)</formula>
    </cfRule>
    <cfRule type="expression" dxfId="16151" priority="26509">
      <formula>IF($B30="VOID",TRUE,FALSE)</formula>
    </cfRule>
    <cfRule type="expression" dxfId="16150" priority="26510">
      <formula>IF($B30="VOID",TRUE,FALSE)</formula>
    </cfRule>
  </conditionalFormatting>
  <conditionalFormatting sqref="E35:G35">
    <cfRule type="expression" dxfId="16149" priority="23463">
      <formula>IF($B35="Quoting",TRUE,FALSE)</formula>
    </cfRule>
  </conditionalFormatting>
  <conditionalFormatting sqref="E36:H36">
    <cfRule type="expression" dxfId="16148" priority="16211">
      <formula>IF($B36="Quoting",TRUE,FALSE)</formula>
    </cfRule>
  </conditionalFormatting>
  <conditionalFormatting sqref="E37:H37">
    <cfRule type="expression" dxfId="16147" priority="4133">
      <formula>IF($B37="Quoting",TRUE,FALSE)</formula>
    </cfRule>
  </conditionalFormatting>
  <conditionalFormatting sqref="G13:G24 G26:G31 G3:G11 G33:G187">
    <cfRule type="expression" dxfId="16146" priority="148632">
      <formula>IF($B3="Quoting",TRUE,FALSE)</formula>
    </cfRule>
  </conditionalFormatting>
  <conditionalFormatting sqref="F28">
    <cfRule type="expression" dxfId="16145" priority="136155">
      <formula>IF($B28="Quoting",TRUE,FALSE)</formula>
    </cfRule>
    <cfRule type="expression" dxfId="16144" priority="136156">
      <formula>IF($B28="Quoting",TRUE,FALSE)</formula>
    </cfRule>
    <cfRule type="expression" dxfId="16143" priority="136596">
      <formula>IF($B28="Quoting",TRUE,FALSE)</formula>
    </cfRule>
    <cfRule type="expression" dxfId="16142" priority="136597">
      <formula>IF($B28="Quoting",TRUE,FALSE)</formula>
    </cfRule>
    <cfRule type="expression" dxfId="16141" priority="136598">
      <formula>IF($B28="Quoting",TRUE,FALSE)</formula>
    </cfRule>
    <cfRule type="expression" dxfId="16140" priority="136599">
      <formula>IF($B28="Quoting",TRUE,FALSE)</formula>
    </cfRule>
    <cfRule type="expression" dxfId="16139" priority="136600">
      <formula>IF($B28="Quoting",TRUE,FALSE)</formula>
    </cfRule>
    <cfRule type="expression" dxfId="16138" priority="136601">
      <formula>IF($B28="Quoting",TRUE,FALSE)</formula>
    </cfRule>
    <cfRule type="expression" dxfId="16137" priority="136613">
      <formula>IF($B28="Quoting",TRUE,FALSE)</formula>
    </cfRule>
  </conditionalFormatting>
  <conditionalFormatting sqref="F5:F6">
    <cfRule type="expression" dxfId="16136" priority="51909">
      <formula>IF($B5="Quoting",TRUE,FALSE)</formula>
    </cfRule>
    <cfRule type="expression" dxfId="16135" priority="51910">
      <formula>IF($B5="Quoting",TRUE,FALSE)</formula>
    </cfRule>
    <cfRule type="expression" dxfId="16134" priority="51911">
      <formula>IF($B5="Quoting",TRUE,FALSE)</formula>
    </cfRule>
    <cfRule type="expression" dxfId="16133" priority="51912">
      <formula>IF($B5="VOID",TRUE,FALSE)</formula>
    </cfRule>
    <cfRule type="expression" dxfId="16132" priority="51913">
      <formula>IF($B5="VOID",TRUE,FALSE)</formula>
    </cfRule>
    <cfRule type="expression" dxfId="16131" priority="51915">
      <formula>IF($B5="Quoting",TRUE,FALSE)</formula>
    </cfRule>
    <cfRule type="expression" dxfId="16130" priority="51925">
      <formula>IF($B5="Quoting",TRUE,FALSE)</formula>
    </cfRule>
    <cfRule type="expression" dxfId="16129" priority="52016">
      <formula>IF($B5="Quoting",TRUE,FALSE)</formula>
    </cfRule>
    <cfRule type="expression" dxfId="16128" priority="52017">
      <formula>IF($B5="Quoting",TRUE,FALSE)</formula>
    </cfRule>
    <cfRule type="expression" dxfId="16127" priority="52018">
      <formula>IF($B5="Quoting",TRUE,FALSE)</formula>
    </cfRule>
    <cfRule type="expression" dxfId="16126" priority="52019">
      <formula>IF($B5="Quoting",TRUE,FALSE)</formula>
    </cfRule>
    <cfRule type="expression" dxfId="16125" priority="52020">
      <formula>IF($B5="Quoting",TRUE,FALSE)</formula>
    </cfRule>
    <cfRule type="expression" dxfId="16124" priority="52021">
      <formula>IF($B5="Quoting",TRUE,FALSE)</formula>
    </cfRule>
    <cfRule type="expression" dxfId="16123" priority="52022">
      <formula>IF($B5="Quoting",TRUE,FALSE)</formula>
    </cfRule>
    <cfRule type="expression" dxfId="16122" priority="52023">
      <formula>IF($B5="Quoting",TRUE,FALSE)</formula>
    </cfRule>
    <cfRule type="expression" dxfId="16121" priority="52024">
      <formula>IF($B5="Quoting",TRUE,FALSE)</formula>
    </cfRule>
    <cfRule type="expression" dxfId="16120" priority="52025">
      <formula>IF($B5="Quoting",TRUE,FALSE)</formula>
    </cfRule>
    <cfRule type="expression" dxfId="16119" priority="52026">
      <formula>IF($B5="Quoting",TRUE,FALSE)</formula>
    </cfRule>
    <cfRule type="expression" dxfId="16118" priority="52027">
      <formula>IF($B5="Quoting",TRUE,FALSE)</formula>
    </cfRule>
    <cfRule type="expression" dxfId="16117" priority="52028">
      <formula>IF($B5="Quoting",TRUE,FALSE)</formula>
    </cfRule>
    <cfRule type="expression" dxfId="16116" priority="52029">
      <formula>IF($B5="Quoting",TRUE,FALSE)</formula>
    </cfRule>
    <cfRule type="expression" dxfId="16115" priority="52030">
      <formula>IF($B5="Quoting",TRUE,FALSE)</formula>
    </cfRule>
    <cfRule type="expression" dxfId="16114" priority="52031">
      <formula>IF($B5="Quoting",TRUE,FALSE)</formula>
    </cfRule>
    <cfRule type="expression" dxfId="16113" priority="52032">
      <formula>IF($B5="Quoting",TRUE,FALSE)</formula>
    </cfRule>
    <cfRule type="expression" dxfId="16112" priority="52033">
      <formula>IF($B5="Quoting",TRUE,FALSE)</formula>
    </cfRule>
    <cfRule type="expression" dxfId="16111" priority="52034">
      <formula>IF($B5="Quoting",TRUE,FALSE)</formula>
    </cfRule>
    <cfRule type="expression" dxfId="16110" priority="52035">
      <formula>IF($B5="Quoting",TRUE,FALSE)</formula>
    </cfRule>
    <cfRule type="expression" dxfId="16109" priority="52036">
      <formula>IF($B5="Quoting",TRUE,FALSE)</formula>
    </cfRule>
    <cfRule type="expression" dxfId="16108" priority="52037">
      <formula>IF($B5="Quoting",TRUE,FALSE)</formula>
    </cfRule>
    <cfRule type="expression" dxfId="16107" priority="52038">
      <formula>IF($B5="VOID",TRUE,FALSE)</formula>
    </cfRule>
    <cfRule type="expression" dxfId="16106" priority="52039">
      <formula>IF($B5="Quoting",TRUE,FALSE)</formula>
    </cfRule>
    <cfRule type="expression" dxfId="16105" priority="52040">
      <formula>IF($B5="Quoting",TRUE,FALSE)</formula>
    </cfRule>
  </conditionalFormatting>
  <conditionalFormatting sqref="F6">
    <cfRule type="expression" dxfId="16104" priority="33361">
      <formula>IF($B6="VOID",TRUE,FALSE)</formula>
    </cfRule>
    <cfRule type="expression" dxfId="16103" priority="33362">
      <formula>IF($B6="VOID",TRUE,FALSE)</formula>
    </cfRule>
    <cfRule type="expression" dxfId="16102" priority="33363">
      <formula>IF($B6="VOID",TRUE,FALSE)</formula>
    </cfRule>
    <cfRule type="expression" dxfId="16101" priority="33364">
      <formula>IF($B6="VOID",TRUE,FALSE)</formula>
    </cfRule>
    <cfRule type="expression" dxfId="16100" priority="33365">
      <formula>IF($B6="VOID",TRUE,FALSE)</formula>
    </cfRule>
    <cfRule type="expression" dxfId="16099" priority="33366">
      <formula>IF($B6="VOID",TRUE,FALSE)</formula>
    </cfRule>
    <cfRule type="expression" dxfId="16098" priority="33367">
      <formula>IF($B6="VOID",TRUE,FALSE)</formula>
    </cfRule>
    <cfRule type="expression" dxfId="16097" priority="33368">
      <formula>IF($B6="VOID",TRUE,FALSE)</formula>
    </cfRule>
    <cfRule type="expression" dxfId="16096" priority="33369">
      <formula>IF($B6="VOID",TRUE,FALSE)</formula>
    </cfRule>
    <cfRule type="expression" dxfId="16095" priority="33370">
      <formula>IF($B6="VOID",TRUE,FALSE)</formula>
    </cfRule>
    <cfRule type="expression" dxfId="16094" priority="33371">
      <formula>IF($B6="VOID",TRUE,FALSE)</formula>
    </cfRule>
    <cfRule type="expression" dxfId="16093" priority="33372">
      <formula>IF($B6="VOID",TRUE,FALSE)</formula>
    </cfRule>
    <cfRule type="expression" dxfId="16092" priority="33373">
      <formula>IF($B6="VOID",TRUE,FALSE)</formula>
    </cfRule>
    <cfRule type="expression" dxfId="16091" priority="33374">
      <formula>IF($B6="Quoting",TRUE,FALSE)</formula>
    </cfRule>
    <cfRule type="expression" dxfId="16090" priority="33375">
      <formula>IF($B6="VOID",TRUE,FALSE)</formula>
    </cfRule>
    <cfRule type="expression" dxfId="16089" priority="33376">
      <formula>IF($B6="Quoting",TRUE,FALSE)</formula>
    </cfRule>
    <cfRule type="expression" dxfId="16088" priority="33377">
      <formula>IF($B6="VOID",TRUE,FALSE)</formula>
    </cfRule>
    <cfRule type="expression" dxfId="16087" priority="33378">
      <formula>IF($B6="Quoting",TRUE,FALSE)</formula>
    </cfRule>
    <cfRule type="expression" dxfId="16086" priority="33379">
      <formula>IF($B6="Quoting",TRUE,FALSE)</formula>
    </cfRule>
    <cfRule type="expression" dxfId="16085" priority="33380">
      <formula>IF($B6="VOID",TRUE,FALSE)</formula>
    </cfRule>
    <cfRule type="expression" dxfId="16084" priority="33381">
      <formula>IF($B6="Quoting",TRUE,FALSE)</formula>
    </cfRule>
    <cfRule type="expression" dxfId="16083" priority="33382">
      <formula>IF($B6="Quoting",TRUE,FALSE)</formula>
    </cfRule>
    <cfRule type="expression" dxfId="16082" priority="33383">
      <formula>IF($B6="VOID",TRUE,FALSE)</formula>
    </cfRule>
    <cfRule type="expression" dxfId="16081" priority="33384">
      <formula>IF($B6="VOID",TRUE,FALSE)</formula>
    </cfRule>
    <cfRule type="expression" dxfId="16080" priority="33385">
      <formula>IF($B6="VOID",TRUE,FALSE)</formula>
    </cfRule>
    <cfRule type="expression" dxfId="16079" priority="33386">
      <formula>IF($B6="VOID",TRUE,FALSE)</formula>
    </cfRule>
    <cfRule type="expression" dxfId="16078" priority="33387">
      <formula>IF($B6="VOID",TRUE,FALSE)</formula>
    </cfRule>
    <cfRule type="expression" dxfId="16077" priority="33388">
      <formula>IF($B6="Quoting",TRUE,FALSE)</formula>
    </cfRule>
    <cfRule type="expression" dxfId="16076" priority="33389">
      <formula>IF($B6="VOID",TRUE,FALSE)</formula>
    </cfRule>
    <cfRule type="expression" dxfId="16075" priority="33390">
      <formula>IF($B6="Quoting",TRUE,FALSE)</formula>
    </cfRule>
    <cfRule type="expression" dxfId="16074" priority="33391">
      <formula>IF($B6="VOID",TRUE,FALSE)</formula>
    </cfRule>
    <cfRule type="expression" dxfId="16073" priority="33392">
      <formula>IF($B6="Quoting",TRUE,FALSE)</formula>
    </cfRule>
    <cfRule type="expression" dxfId="16072" priority="33393">
      <formula>IF($B6="Quoting",TRUE,FALSE)</formula>
    </cfRule>
    <cfRule type="expression" dxfId="16071" priority="33394">
      <formula>IF($B6="VOID",TRUE,FALSE)</formula>
    </cfRule>
    <cfRule type="expression" dxfId="16070" priority="33395">
      <formula>IF($B6="Quoting",TRUE,FALSE)</formula>
    </cfRule>
    <cfRule type="expression" dxfId="16069" priority="33396">
      <formula>IF($B6="Quoting",TRUE,FALSE)</formula>
    </cfRule>
    <cfRule type="expression" dxfId="16068" priority="33397">
      <formula>IF($B6="Quoting",TRUE,FALSE)</formula>
    </cfRule>
    <cfRule type="expression" dxfId="16067" priority="33398">
      <formula>IF($B6="Quoting",TRUE,FALSE)</formula>
    </cfRule>
    <cfRule type="expression" dxfId="16066" priority="33399">
      <formula>IF($B6="Quoting",TRUE,FALSE)</formula>
    </cfRule>
    <cfRule type="expression" dxfId="16065" priority="33400">
      <formula>IF($B6="Quoting",TRUE,FALSE)</formula>
    </cfRule>
    <cfRule type="expression" dxfId="16064" priority="33401">
      <formula>IF($B6="Quoting",TRUE,FALSE)</formula>
    </cfRule>
    <cfRule type="expression" dxfId="16063" priority="33402">
      <formula>IF($B6="Quoting",TRUE,FALSE)</formula>
    </cfRule>
    <cfRule type="expression" dxfId="16062" priority="33403">
      <formula>IF($B6="Quoting",TRUE,FALSE)</formula>
    </cfRule>
    <cfRule type="expression" dxfId="16061" priority="33404">
      <formula>IF($B6="Quoting",TRUE,FALSE)</formula>
    </cfRule>
    <cfRule type="expression" dxfId="16060" priority="33405">
      <formula>IF($B6="Quoting",TRUE,FALSE)</formula>
    </cfRule>
    <cfRule type="expression" dxfId="16059" priority="33406">
      <formula>IF($B6="Quoting",TRUE,FALSE)</formula>
    </cfRule>
    <cfRule type="expression" dxfId="16058" priority="33407">
      <formula>IF($B6="Quoting",TRUE,FALSE)</formula>
    </cfRule>
    <cfRule type="expression" dxfId="16057" priority="33408">
      <formula>IF($B6="Quoting",TRUE,FALSE)</formula>
    </cfRule>
    <cfRule type="expression" dxfId="16056" priority="33409">
      <formula>IF($B6="Quoting",TRUE,FALSE)</formula>
    </cfRule>
    <cfRule type="expression" dxfId="16055" priority="33410">
      <formula>IF($B6="Quoting",TRUE,FALSE)</formula>
    </cfRule>
    <cfRule type="expression" dxfId="16054" priority="33411">
      <formula>IF($B6="Quoting",TRUE,FALSE)</formula>
    </cfRule>
    <cfRule type="expression" dxfId="16053" priority="33412">
      <formula>IF($B6="Quoting",TRUE,FALSE)</formula>
    </cfRule>
    <cfRule type="expression" dxfId="16052" priority="33413">
      <formula>IF($B6="Quoting",TRUE,FALSE)</formula>
    </cfRule>
    <cfRule type="expression" dxfId="16051" priority="33414">
      <formula>IF($B6="Quoting",TRUE,FALSE)</formula>
    </cfRule>
    <cfRule type="expression" dxfId="16050" priority="33415">
      <formula>IF($B6="Quoting",TRUE,FALSE)</formula>
    </cfRule>
    <cfRule type="expression" dxfId="16049" priority="33416">
      <formula>IF($B6="Quoting",TRUE,FALSE)</formula>
    </cfRule>
    <cfRule type="expression" dxfId="16048" priority="33417">
      <formula>IF($B6="Quoting",TRUE,FALSE)</formula>
    </cfRule>
    <cfRule type="expression" dxfId="16047" priority="33418">
      <formula>IF($B6="Quoting",TRUE,FALSE)</formula>
    </cfRule>
    <cfRule type="expression" dxfId="16046" priority="33419">
      <formula>IF($B6="Quoting",TRUE,FALSE)</formula>
    </cfRule>
    <cfRule type="expression" dxfId="16045" priority="33420">
      <formula>IF($B6="Quoting",TRUE,FALSE)</formula>
    </cfRule>
    <cfRule type="expression" dxfId="16044" priority="33421">
      <formula>IF($B6="Quoting",TRUE,FALSE)</formula>
    </cfRule>
    <cfRule type="expression" dxfId="16043" priority="33422">
      <formula>IF($B6="Quoting",TRUE,FALSE)</formula>
    </cfRule>
    <cfRule type="expression" dxfId="16042" priority="33423">
      <formula>IF($B6="Quoting",TRUE,FALSE)</formula>
    </cfRule>
    <cfRule type="expression" dxfId="16041" priority="33424">
      <formula>IF($B6="Quoting",TRUE,FALSE)</formula>
    </cfRule>
    <cfRule type="expression" dxfId="16040" priority="33425">
      <formula>IF($B6="Quoting",TRUE,FALSE)</formula>
    </cfRule>
    <cfRule type="expression" dxfId="16039" priority="33426">
      <formula>IF($B6="Quoting",TRUE,FALSE)</formula>
    </cfRule>
    <cfRule type="expression" dxfId="16038" priority="33427">
      <formula>IF($B6="Quoting",TRUE,FALSE)</formula>
    </cfRule>
    <cfRule type="expression" dxfId="16037" priority="33428">
      <formula>IF($B6="Quoting",TRUE,FALSE)</formula>
    </cfRule>
    <cfRule type="expression" dxfId="16036" priority="33429">
      <formula>IF($B6="Quoting",TRUE,FALSE)</formula>
    </cfRule>
    <cfRule type="expression" dxfId="16035" priority="33430">
      <formula>IF($B6="Quoting",TRUE,FALSE)</formula>
    </cfRule>
    <cfRule type="expression" dxfId="16034" priority="33431">
      <formula>IF($B6="Quoting",TRUE,FALSE)</formula>
    </cfRule>
    <cfRule type="expression" dxfId="16033" priority="33432">
      <formula>IF($B6="Quoting",TRUE,FALSE)</formula>
    </cfRule>
    <cfRule type="expression" dxfId="16032" priority="33433">
      <formula>IF($B6="Quoting",TRUE,FALSE)</formula>
    </cfRule>
    <cfRule type="expression" dxfId="16031" priority="33434">
      <formula>IF($B6="Quoting",TRUE,FALSE)</formula>
    </cfRule>
    <cfRule type="expression" dxfId="16030" priority="33435">
      <formula>IF($B6="Quoting",TRUE,FALSE)</formula>
    </cfRule>
    <cfRule type="expression" dxfId="16029" priority="33436">
      <formula>IF($B6="Quoting",TRUE,FALSE)</formula>
    </cfRule>
    <cfRule type="expression" dxfId="16028" priority="33437">
      <formula>IF($B6="Quoting",TRUE,FALSE)</formula>
    </cfRule>
    <cfRule type="expression" dxfId="16027" priority="33438">
      <formula>IF($B6="Quoting",TRUE,FALSE)</formula>
    </cfRule>
    <cfRule type="expression" dxfId="16026" priority="33439">
      <formula>IF($B6="Quoting",TRUE,FALSE)</formula>
    </cfRule>
    <cfRule type="expression" dxfId="16025" priority="33440">
      <formula>IF($B6="Quoting",TRUE,FALSE)</formula>
    </cfRule>
    <cfRule type="expression" dxfId="16024" priority="33441">
      <formula>IF($B6="Quoting",TRUE,FALSE)</formula>
    </cfRule>
    <cfRule type="expression" dxfId="16023" priority="33442">
      <formula>IF($B6="Quoting",TRUE,FALSE)</formula>
    </cfRule>
    <cfRule type="expression" dxfId="16022" priority="33443">
      <formula>IF($B6="Quoting",TRUE,FALSE)</formula>
    </cfRule>
    <cfRule type="expression" dxfId="16021" priority="33444">
      <formula>IF($B6="Quoting",TRUE,FALSE)</formula>
    </cfRule>
    <cfRule type="expression" dxfId="16020" priority="33445">
      <formula>IF($B6="Quoting",TRUE,FALSE)</formula>
    </cfRule>
    <cfRule type="expression" dxfId="16019" priority="33446">
      <formula>IF($B6="Quoting",TRUE,FALSE)</formula>
    </cfRule>
    <cfRule type="expression" dxfId="16018" priority="33447">
      <formula>IF($B6="Quoting",TRUE,FALSE)</formula>
    </cfRule>
    <cfRule type="expression" dxfId="16017" priority="33448">
      <formula>IF($B6="Quoting",TRUE,FALSE)</formula>
    </cfRule>
    <cfRule type="expression" dxfId="16016" priority="33449">
      <formula>IF($B6="Quoting",TRUE,FALSE)</formula>
    </cfRule>
    <cfRule type="expression" dxfId="16015" priority="33450">
      <formula>IF($B6="Quoting",TRUE,FALSE)</formula>
    </cfRule>
    <cfRule type="expression" dxfId="16014" priority="33451">
      <formula>IF($B6="Quoting",TRUE,FALSE)</formula>
    </cfRule>
    <cfRule type="expression" dxfId="16013" priority="33452">
      <formula>IF($B6="Quoting",TRUE,FALSE)</formula>
    </cfRule>
    <cfRule type="expression" dxfId="16012" priority="33453">
      <formula>IF($B6="Quoting",TRUE,FALSE)</formula>
    </cfRule>
    <cfRule type="expression" dxfId="16011" priority="33454">
      <formula>IF($B6="Quoting",TRUE,FALSE)</formula>
    </cfRule>
    <cfRule type="expression" dxfId="16010" priority="33455">
      <formula>IF($B6="Quoting",TRUE,FALSE)</formula>
    </cfRule>
    <cfRule type="expression" dxfId="16009" priority="33456">
      <formula>IF($B6="Quoting",TRUE,FALSE)</formula>
    </cfRule>
    <cfRule type="expression" dxfId="16008" priority="33457">
      <formula>IF($B6="Quoting",TRUE,FALSE)</formula>
    </cfRule>
    <cfRule type="expression" dxfId="16007" priority="33458">
      <formula>IF($B6="Quoting",TRUE,FALSE)</formula>
    </cfRule>
    <cfRule type="expression" dxfId="16006" priority="33459">
      <formula>IF($B6="Quoting",TRUE,FALSE)</formula>
    </cfRule>
    <cfRule type="expression" dxfId="16005" priority="33460">
      <formula>IF($B6="Quoting",TRUE,FALSE)</formula>
    </cfRule>
    <cfRule type="expression" dxfId="16004" priority="33461">
      <formula>IF($B6="Quoting",TRUE,FALSE)</formula>
    </cfRule>
    <cfRule type="expression" dxfId="16003" priority="33462">
      <formula>IF($B6="Quoting",TRUE,FALSE)</formula>
    </cfRule>
    <cfRule type="expression" dxfId="16002" priority="33463">
      <formula>IF($B6="Quoting",TRUE,FALSE)</formula>
    </cfRule>
    <cfRule type="expression" dxfId="16001" priority="33464">
      <formula>IF($B6="Quoting",TRUE,FALSE)</formula>
    </cfRule>
    <cfRule type="expression" dxfId="16000" priority="33465">
      <formula>IF($B6="Quoting",TRUE,FALSE)</formula>
    </cfRule>
    <cfRule type="expression" dxfId="15999" priority="33466">
      <formula>IF($B6="Quoting",TRUE,FALSE)</formula>
    </cfRule>
    <cfRule type="expression" dxfId="15998" priority="33467">
      <formula>IF($B6="Quoting",TRUE,FALSE)</formula>
    </cfRule>
  </conditionalFormatting>
  <conditionalFormatting sqref="F7">
    <cfRule type="expression" dxfId="15997" priority="51485">
      <formula>IF($B7="Quoting",TRUE,FALSE)</formula>
    </cfRule>
    <cfRule type="expression" dxfId="15996" priority="51558">
      <formula>IF($B7="Quoting",TRUE,FALSE)</formula>
    </cfRule>
    <cfRule type="expression" dxfId="15995" priority="51559">
      <formula>IF($B7="Quoting",TRUE,FALSE)</formula>
    </cfRule>
    <cfRule type="expression" dxfId="15994" priority="51560">
      <formula>IF($B7="Quoting",TRUE,FALSE)</formula>
    </cfRule>
    <cfRule type="expression" dxfId="15993" priority="51561">
      <formula>IF($B7="VOID",TRUE,FALSE)</formula>
    </cfRule>
    <cfRule type="expression" dxfId="15992" priority="51562">
      <formula>IF($B7="VOID",TRUE,FALSE)</formula>
    </cfRule>
    <cfRule type="expression" dxfId="15991" priority="51564">
      <formula>IF($B7="Quoting",TRUE,FALSE)</formula>
    </cfRule>
    <cfRule type="expression" dxfId="15990" priority="51568">
      <formula>IF($B7="Quoting",TRUE,FALSE)</formula>
    </cfRule>
    <cfRule type="expression" dxfId="15989" priority="51639">
      <formula>IF($B7="Quoting",TRUE,FALSE)</formula>
    </cfRule>
    <cfRule type="expression" dxfId="15988" priority="51640">
      <formula>IF($B7="Quoting",TRUE,FALSE)</formula>
    </cfRule>
    <cfRule type="expression" dxfId="15987" priority="51641">
      <formula>IF($B7="Quoting",TRUE,FALSE)</formula>
    </cfRule>
    <cfRule type="expression" dxfId="15986" priority="51642">
      <formula>IF($B7="Quoting",TRUE,FALSE)</formula>
    </cfRule>
    <cfRule type="expression" dxfId="15985" priority="51643">
      <formula>IF($B7="Quoting",TRUE,FALSE)</formula>
    </cfRule>
    <cfRule type="expression" dxfId="15984" priority="51644">
      <formula>IF($B7="Quoting",TRUE,FALSE)</formula>
    </cfRule>
    <cfRule type="expression" dxfId="15983" priority="51645">
      <formula>IF($B7="Quoting",TRUE,FALSE)</formula>
    </cfRule>
    <cfRule type="expression" dxfId="15982" priority="51646">
      <formula>IF($B7="Quoting",TRUE,FALSE)</formula>
    </cfRule>
    <cfRule type="expression" dxfId="15981" priority="51647">
      <formula>IF($B7="Quoting",TRUE,FALSE)</formula>
    </cfRule>
    <cfRule type="expression" dxfId="15980" priority="51648">
      <formula>IF($B7="Quoting",TRUE,FALSE)</formula>
    </cfRule>
    <cfRule type="expression" dxfId="15979" priority="51649">
      <formula>IF($B7="Quoting",TRUE,FALSE)</formula>
    </cfRule>
    <cfRule type="expression" dxfId="15978" priority="51650">
      <formula>IF($B7="Quoting",TRUE,FALSE)</formula>
    </cfRule>
    <cfRule type="expression" dxfId="15977" priority="51651">
      <formula>IF($B7="Quoting",TRUE,FALSE)</formula>
    </cfRule>
    <cfRule type="expression" dxfId="15976" priority="51652">
      <formula>IF($B7="Quoting",TRUE,FALSE)</formula>
    </cfRule>
    <cfRule type="expression" dxfId="15975" priority="51653">
      <formula>IF($B7="Quoting",TRUE,FALSE)</formula>
    </cfRule>
    <cfRule type="expression" dxfId="15974" priority="51654">
      <formula>IF($B7="Quoting",TRUE,FALSE)</formula>
    </cfRule>
    <cfRule type="expression" dxfId="15973" priority="51655">
      <formula>IF($B7="Quoting",TRUE,FALSE)</formula>
    </cfRule>
    <cfRule type="expression" dxfId="15972" priority="51656">
      <formula>IF($B7="Quoting",TRUE,FALSE)</formula>
    </cfRule>
    <cfRule type="expression" dxfId="15971" priority="51657">
      <formula>IF($B7="Quoting",TRUE,FALSE)</formula>
    </cfRule>
    <cfRule type="expression" dxfId="15970" priority="51658">
      <formula>IF($B7="Quoting",TRUE,FALSE)</formula>
    </cfRule>
    <cfRule type="expression" dxfId="15969" priority="51659">
      <formula>IF($B7="Quoting",TRUE,FALSE)</formula>
    </cfRule>
    <cfRule type="expression" dxfId="15968" priority="51660">
      <formula>IF($B7="Quoting",TRUE,FALSE)</formula>
    </cfRule>
    <cfRule type="expression" dxfId="15967" priority="51661">
      <formula>IF($B7="VOID",TRUE,FALSE)</formula>
    </cfRule>
    <cfRule type="expression" dxfId="15966" priority="51662">
      <formula>IF($B7="Quoting",TRUE,FALSE)</formula>
    </cfRule>
    <cfRule type="expression" dxfId="15965" priority="51663">
      <formula>IF($B7="Quoting",TRUE,FALSE)</formula>
    </cfRule>
  </conditionalFormatting>
  <conditionalFormatting sqref="F8">
    <cfRule type="expression" dxfId="15964" priority="51203">
      <formula>IF($B8="Quoting",TRUE,FALSE)</formula>
    </cfRule>
    <cfRule type="expression" dxfId="15963" priority="51204">
      <formula>IF($B8="Quoting",TRUE,FALSE)</formula>
    </cfRule>
    <cfRule type="expression" dxfId="15962" priority="51205">
      <formula>IF($B8="Quoting",TRUE,FALSE)</formula>
    </cfRule>
    <cfRule type="expression" dxfId="15961" priority="51206">
      <formula>IF($B8="VOID",TRUE,FALSE)</formula>
    </cfRule>
    <cfRule type="expression" dxfId="15960" priority="51207">
      <formula>IF($B8="VOID",TRUE,FALSE)</formula>
    </cfRule>
    <cfRule type="expression" dxfId="15959" priority="51209">
      <formula>IF($B8="Quoting",TRUE,FALSE)</formula>
    </cfRule>
    <cfRule type="expression" dxfId="15958" priority="51213">
      <formula>IF($B8="Quoting",TRUE,FALSE)</formula>
    </cfRule>
    <cfRule type="expression" dxfId="15957" priority="51303">
      <formula>IF($B8="Quoting",TRUE,FALSE)</formula>
    </cfRule>
    <cfRule type="expression" dxfId="15956" priority="51304">
      <formula>IF($B8="Quoting",TRUE,FALSE)</formula>
    </cfRule>
    <cfRule type="expression" dxfId="15955" priority="51305">
      <formula>IF($B8="Quoting",TRUE,FALSE)</formula>
    </cfRule>
    <cfRule type="expression" dxfId="15954" priority="51306">
      <formula>IF($B8="Quoting",TRUE,FALSE)</formula>
    </cfRule>
    <cfRule type="expression" dxfId="15953" priority="51307">
      <formula>IF($B8="Quoting",TRUE,FALSE)</formula>
    </cfRule>
    <cfRule type="expression" dxfId="15952" priority="51308">
      <formula>IF($B8="Quoting",TRUE,FALSE)</formula>
    </cfRule>
    <cfRule type="expression" dxfId="15951" priority="51309">
      <formula>IF($B8="Quoting",TRUE,FALSE)</formula>
    </cfRule>
    <cfRule type="expression" dxfId="15950" priority="51310">
      <formula>IF($B8="Quoting",TRUE,FALSE)</formula>
    </cfRule>
    <cfRule type="expression" dxfId="15949" priority="51311">
      <formula>IF($B8="Quoting",TRUE,FALSE)</formula>
    </cfRule>
    <cfRule type="expression" dxfId="15948" priority="51312">
      <formula>IF($B8="Quoting",TRUE,FALSE)</formula>
    </cfRule>
    <cfRule type="expression" dxfId="15947" priority="51313">
      <formula>IF($B8="Quoting",TRUE,FALSE)</formula>
    </cfRule>
    <cfRule type="expression" dxfId="15946" priority="51314">
      <formula>IF($B8="Quoting",TRUE,FALSE)</formula>
    </cfRule>
    <cfRule type="expression" dxfId="15945" priority="51315">
      <formula>IF($B8="Quoting",TRUE,FALSE)</formula>
    </cfRule>
    <cfRule type="expression" dxfId="15944" priority="51316">
      <formula>IF($B8="Quoting",TRUE,FALSE)</formula>
    </cfRule>
    <cfRule type="expression" dxfId="15943" priority="51317">
      <formula>IF($B8="Quoting",TRUE,FALSE)</formula>
    </cfRule>
    <cfRule type="expression" dxfId="15942" priority="51318">
      <formula>IF($B8="Quoting",TRUE,FALSE)</formula>
    </cfRule>
    <cfRule type="expression" dxfId="15941" priority="51319">
      <formula>IF($B8="Quoting",TRUE,FALSE)</formula>
    </cfRule>
    <cfRule type="expression" dxfId="15940" priority="51320">
      <formula>IF($B8="Quoting",TRUE,FALSE)</formula>
    </cfRule>
    <cfRule type="expression" dxfId="15939" priority="51321">
      <formula>IF($B8="Quoting",TRUE,FALSE)</formula>
    </cfRule>
    <cfRule type="expression" dxfId="15938" priority="51322">
      <formula>IF($B8="Quoting",TRUE,FALSE)</formula>
    </cfRule>
    <cfRule type="expression" dxfId="15937" priority="51323">
      <formula>IF($B8="Quoting",TRUE,FALSE)</formula>
    </cfRule>
    <cfRule type="expression" dxfId="15936" priority="51324">
      <formula>IF($B8="Quoting",TRUE,FALSE)</formula>
    </cfRule>
    <cfRule type="expression" dxfId="15935" priority="51325">
      <formula>IF($B8="VOID",TRUE,FALSE)</formula>
    </cfRule>
    <cfRule type="expression" dxfId="15934" priority="51326">
      <formula>IF($B8="Quoting",TRUE,FALSE)</formula>
    </cfRule>
    <cfRule type="expression" dxfId="15933" priority="51327">
      <formula>IF($B8="Quoting",TRUE,FALSE)</formula>
    </cfRule>
  </conditionalFormatting>
  <conditionalFormatting sqref="F9">
    <cfRule type="expression" dxfId="15932" priority="50927">
      <formula>IF($B9="Quoting",TRUE,FALSE)</formula>
    </cfRule>
    <cfRule type="expression" dxfId="15931" priority="51000">
      <formula>IF($B9="Quoting",TRUE,FALSE)</formula>
    </cfRule>
    <cfRule type="expression" dxfId="15930" priority="51001">
      <formula>IF($B9="Quoting",TRUE,FALSE)</formula>
    </cfRule>
    <cfRule type="expression" dxfId="15929" priority="51002">
      <formula>IF($B9="Quoting",TRUE,FALSE)</formula>
    </cfRule>
    <cfRule type="expression" dxfId="15928" priority="51003">
      <formula>IF($B9="VOID",TRUE,FALSE)</formula>
    </cfRule>
    <cfRule type="expression" dxfId="15927" priority="51004">
      <formula>IF($B9="VOID",TRUE,FALSE)</formula>
    </cfRule>
    <cfRule type="expression" dxfId="15926" priority="51006">
      <formula>IF($B9="Quoting",TRUE,FALSE)</formula>
    </cfRule>
    <cfRule type="expression" dxfId="15925" priority="51010">
      <formula>IF($B9="Quoting",TRUE,FALSE)</formula>
    </cfRule>
    <cfRule type="expression" dxfId="15924" priority="51081">
      <formula>IF($B9="Quoting",TRUE,FALSE)</formula>
    </cfRule>
    <cfRule type="expression" dxfId="15923" priority="51082">
      <formula>IF($B9="Quoting",TRUE,FALSE)</formula>
    </cfRule>
    <cfRule type="expression" dxfId="15922" priority="51083">
      <formula>IF($B9="Quoting",TRUE,FALSE)</formula>
    </cfRule>
    <cfRule type="expression" dxfId="15921" priority="51084">
      <formula>IF($B9="Quoting",TRUE,FALSE)</formula>
    </cfRule>
    <cfRule type="expression" dxfId="15920" priority="51085">
      <formula>IF($B9="Quoting",TRUE,FALSE)</formula>
    </cfRule>
    <cfRule type="expression" dxfId="15919" priority="51086">
      <formula>IF($B9="Quoting",TRUE,FALSE)</formula>
    </cfRule>
    <cfRule type="expression" dxfId="15918" priority="51087">
      <formula>IF($B9="Quoting",TRUE,FALSE)</formula>
    </cfRule>
    <cfRule type="expression" dxfId="15917" priority="51088">
      <formula>IF($B9="Quoting",TRUE,FALSE)</formula>
    </cfRule>
    <cfRule type="expression" dxfId="15916" priority="51089">
      <formula>IF($B9="Quoting",TRUE,FALSE)</formula>
    </cfRule>
    <cfRule type="expression" dxfId="15915" priority="51090">
      <formula>IF($B9="Quoting",TRUE,FALSE)</formula>
    </cfRule>
    <cfRule type="expression" dxfId="15914" priority="51091">
      <formula>IF($B9="Quoting",TRUE,FALSE)</formula>
    </cfRule>
    <cfRule type="expression" dxfId="15913" priority="51092">
      <formula>IF($B9="Quoting",TRUE,FALSE)</formula>
    </cfRule>
    <cfRule type="expression" dxfId="15912" priority="51093">
      <formula>IF($B9="Quoting",TRUE,FALSE)</formula>
    </cfRule>
    <cfRule type="expression" dxfId="15911" priority="51094">
      <formula>IF($B9="Quoting",TRUE,FALSE)</formula>
    </cfRule>
    <cfRule type="expression" dxfId="15910" priority="51095">
      <formula>IF($B9="Quoting",TRUE,FALSE)</formula>
    </cfRule>
    <cfRule type="expression" dxfId="15909" priority="51096">
      <formula>IF($B9="Quoting",TRUE,FALSE)</formula>
    </cfRule>
    <cfRule type="expression" dxfId="15908" priority="51097">
      <formula>IF($B9="Quoting",TRUE,FALSE)</formula>
    </cfRule>
    <cfRule type="expression" dxfId="15907" priority="51098">
      <formula>IF($B9="Quoting",TRUE,FALSE)</formula>
    </cfRule>
    <cfRule type="expression" dxfId="15906" priority="51099">
      <formula>IF($B9="Quoting",TRUE,FALSE)</formula>
    </cfRule>
    <cfRule type="expression" dxfId="15905" priority="51100">
      <formula>IF($B9="Quoting",TRUE,FALSE)</formula>
    </cfRule>
    <cfRule type="expression" dxfId="15904" priority="51101">
      <formula>IF($B9="Quoting",TRUE,FALSE)</formula>
    </cfRule>
    <cfRule type="expression" dxfId="15903" priority="51102">
      <formula>IF($B9="Quoting",TRUE,FALSE)</formula>
    </cfRule>
    <cfRule type="expression" dxfId="15902" priority="51103">
      <formula>IF($B9="VOID",TRUE,FALSE)</formula>
    </cfRule>
    <cfRule type="expression" dxfId="15901" priority="51104">
      <formula>IF($B9="Quoting",TRUE,FALSE)</formula>
    </cfRule>
    <cfRule type="expression" dxfId="15900" priority="51105">
      <formula>IF($B9="Quoting",TRUE,FALSE)</formula>
    </cfRule>
  </conditionalFormatting>
  <conditionalFormatting sqref="F10">
    <cfRule type="expression" dxfId="15899" priority="50642">
      <formula>IF($B10="Quoting",TRUE,FALSE)</formula>
    </cfRule>
    <cfRule type="expression" dxfId="15898" priority="50643">
      <formula>IF($B10="Quoting",TRUE,FALSE)</formula>
    </cfRule>
    <cfRule type="expression" dxfId="15897" priority="50644">
      <formula>IF($B10="Quoting",TRUE,FALSE)</formula>
    </cfRule>
    <cfRule type="expression" dxfId="15896" priority="50645">
      <formula>IF($B10="VOID",TRUE,FALSE)</formula>
    </cfRule>
    <cfRule type="expression" dxfId="15895" priority="50646">
      <formula>IF($B10="VOID",TRUE,FALSE)</formula>
    </cfRule>
    <cfRule type="expression" dxfId="15894" priority="50648">
      <formula>IF($B10="Quoting",TRUE,FALSE)</formula>
    </cfRule>
    <cfRule type="expression" dxfId="15893" priority="50652">
      <formula>IF($B10="Quoting",TRUE,FALSE)</formula>
    </cfRule>
    <cfRule type="expression" dxfId="15892" priority="50742">
      <formula>IF($B10="Quoting",TRUE,FALSE)</formula>
    </cfRule>
    <cfRule type="expression" dxfId="15891" priority="50743">
      <formula>IF($B10="Quoting",TRUE,FALSE)</formula>
    </cfRule>
    <cfRule type="expression" dxfId="15890" priority="50744">
      <formula>IF($B10="Quoting",TRUE,FALSE)</formula>
    </cfRule>
    <cfRule type="expression" dxfId="15889" priority="50745">
      <formula>IF($B10="Quoting",TRUE,FALSE)</formula>
    </cfRule>
    <cfRule type="expression" dxfId="15888" priority="50746">
      <formula>IF($B10="Quoting",TRUE,FALSE)</formula>
    </cfRule>
    <cfRule type="expression" dxfId="15887" priority="50747">
      <formula>IF($B10="Quoting",TRUE,FALSE)</formula>
    </cfRule>
    <cfRule type="expression" dxfId="15886" priority="50748">
      <formula>IF($B10="Quoting",TRUE,FALSE)</formula>
    </cfRule>
    <cfRule type="expression" dxfId="15885" priority="50749">
      <formula>IF($B10="Quoting",TRUE,FALSE)</formula>
    </cfRule>
    <cfRule type="expression" dxfId="15884" priority="50750">
      <formula>IF($B10="Quoting",TRUE,FALSE)</formula>
    </cfRule>
    <cfRule type="expression" dxfId="15883" priority="50751">
      <formula>IF($B10="Quoting",TRUE,FALSE)</formula>
    </cfRule>
    <cfRule type="expression" dxfId="15882" priority="50752">
      <formula>IF($B10="Quoting",TRUE,FALSE)</formula>
    </cfRule>
    <cfRule type="expression" dxfId="15881" priority="50753">
      <formula>IF($B10="Quoting",TRUE,FALSE)</formula>
    </cfRule>
    <cfRule type="expression" dxfId="15880" priority="50754">
      <formula>IF($B10="Quoting",TRUE,FALSE)</formula>
    </cfRule>
    <cfRule type="expression" dxfId="15879" priority="50755">
      <formula>IF($B10="Quoting",TRUE,FALSE)</formula>
    </cfRule>
    <cfRule type="expression" dxfId="15878" priority="50756">
      <formula>IF($B10="Quoting",TRUE,FALSE)</formula>
    </cfRule>
    <cfRule type="expression" dxfId="15877" priority="50757">
      <formula>IF($B10="Quoting",TRUE,FALSE)</formula>
    </cfRule>
    <cfRule type="expression" dxfId="15876" priority="50758">
      <formula>IF($B10="Quoting",TRUE,FALSE)</formula>
    </cfRule>
    <cfRule type="expression" dxfId="15875" priority="50759">
      <formula>IF($B10="Quoting",TRUE,FALSE)</formula>
    </cfRule>
    <cfRule type="expression" dxfId="15874" priority="50760">
      <formula>IF($B10="Quoting",TRUE,FALSE)</formula>
    </cfRule>
    <cfRule type="expression" dxfId="15873" priority="50761">
      <formula>IF($B10="Quoting",TRUE,FALSE)</formula>
    </cfRule>
    <cfRule type="expression" dxfId="15872" priority="50762">
      <formula>IF($B10="Quoting",TRUE,FALSE)</formula>
    </cfRule>
    <cfRule type="expression" dxfId="15871" priority="50763">
      <formula>IF($B10="Quoting",TRUE,FALSE)</formula>
    </cfRule>
    <cfRule type="expression" dxfId="15870" priority="50764">
      <formula>IF($B10="VOID",TRUE,FALSE)</formula>
    </cfRule>
    <cfRule type="expression" dxfId="15869" priority="50765">
      <formula>IF($B10="Quoting",TRUE,FALSE)</formula>
    </cfRule>
    <cfRule type="expression" dxfId="15868" priority="50766">
      <formula>IF($B10="Quoting",TRUE,FALSE)</formula>
    </cfRule>
  </conditionalFormatting>
  <conditionalFormatting sqref="F11">
    <cfRule type="expression" dxfId="15867" priority="50477">
      <formula>IF($B11="VOID",TRUE,FALSE)</formula>
    </cfRule>
    <cfRule type="expression" dxfId="15866" priority="50478">
      <formula>IF($B11="VOID",TRUE,FALSE)</formula>
    </cfRule>
    <cfRule type="expression" dxfId="15865" priority="50479">
      <formula>IF($B11="VOID",TRUE,FALSE)</formula>
    </cfRule>
    <cfRule type="expression" dxfId="15864" priority="50480">
      <formula>IF($B11="VOID",TRUE,FALSE)</formula>
    </cfRule>
    <cfRule type="expression" dxfId="15863" priority="50481">
      <formula>IF($B11="VOID",TRUE,FALSE)</formula>
    </cfRule>
    <cfRule type="expression" dxfId="15862" priority="50482">
      <formula>IF($B11="VOID",TRUE,FALSE)</formula>
    </cfRule>
    <cfRule type="expression" dxfId="15861" priority="50483">
      <formula>IF($B11="Quoting",TRUE,FALSE)</formula>
    </cfRule>
    <cfRule type="expression" dxfId="15860" priority="50484">
      <formula>IF($B11="VOID",TRUE,FALSE)</formula>
    </cfRule>
    <cfRule type="expression" dxfId="15859" priority="50485">
      <formula>IF($B11="Quoting",TRUE,FALSE)</formula>
    </cfRule>
    <cfRule type="expression" dxfId="15858" priority="50486">
      <formula>IF($B11="LOST",TRUE,FALSE)</formula>
    </cfRule>
    <cfRule type="expression" dxfId="15857" priority="50487">
      <formula>IF($B11="Larry",TRUE,FALSE)</formula>
    </cfRule>
    <cfRule type="expression" dxfId="15856" priority="50488">
      <formula>IF($B11="Cathy",TRUE,FALSE)</formula>
    </cfRule>
    <cfRule type="expression" dxfId="15855" priority="50489">
      <formula>IF($B11="ISSUE",TRUE,FALSE)</formula>
    </cfRule>
    <cfRule type="expression" dxfId="15854" priority="50490">
      <formula>IF($B11="Purchased",TRUE,FALSE)</formula>
    </cfRule>
    <cfRule type="expression" dxfId="15853" priority="50491">
      <formula>IF($B11="Requoted",TRUE,FALSE)</formula>
    </cfRule>
    <cfRule type="expression" dxfId="15852" priority="50492">
      <formula>IF($B11="Quote Sent",TRUE,FALSE)</formula>
    </cfRule>
    <cfRule type="expression" dxfId="15851" priority="50493">
      <formula>IF($B11="Max",TRUE,FALSE)</formula>
    </cfRule>
    <cfRule type="expression" dxfId="15850" priority="50494">
      <formula>IF($B11="Quoting",TRUE,FALSE)</formula>
    </cfRule>
  </conditionalFormatting>
  <conditionalFormatting sqref="F12:F15">
    <cfRule type="expression" dxfId="15849" priority="50371">
      <formula>IF($B12="Quoting",TRUE,FALSE)</formula>
    </cfRule>
  </conditionalFormatting>
  <conditionalFormatting sqref="F15">
    <cfRule type="expression" dxfId="15848" priority="49701">
      <formula>IF($B15="Quoting",TRUE,FALSE)</formula>
    </cfRule>
  </conditionalFormatting>
  <conditionalFormatting sqref="F20">
    <cfRule type="expression" dxfId="15847" priority="49508">
      <formula>IF($B20="Custom Quote",TRUE,FALSE)</formula>
    </cfRule>
    <cfRule type="expression" dxfId="15846" priority="49509">
      <formula>IF($B20="Quoting",TRUE,FALSE)</formula>
    </cfRule>
  </conditionalFormatting>
  <conditionalFormatting sqref="F27">
    <cfRule type="expression" dxfId="15845" priority="44684">
      <formula>IF($B27="Quoting",TRUE,FALSE)</formula>
    </cfRule>
    <cfRule type="expression" dxfId="15844" priority="44685">
      <formula>IF($B27="Quoting",TRUE,FALSE)</formula>
    </cfRule>
  </conditionalFormatting>
  <conditionalFormatting sqref="F30">
    <cfRule type="expression" dxfId="15843" priority="26430">
      <formula>IF($B30="Quoting",TRUE,FALSE)</formula>
    </cfRule>
    <cfRule type="expression" dxfId="15842" priority="26431">
      <formula>IF($B30="Quoting",TRUE,FALSE)</formula>
    </cfRule>
    <cfRule type="expression" dxfId="15841" priority="26432">
      <formula>IF($B30="Quoting",TRUE,FALSE)</formula>
    </cfRule>
    <cfRule type="expression" dxfId="15840" priority="26433">
      <formula>IF($B30="Quoting",TRUE,FALSE)</formula>
    </cfRule>
    <cfRule type="expression" dxfId="15839" priority="26434">
      <formula>IF($B30="Quoting",TRUE,FALSE)</formula>
    </cfRule>
    <cfRule type="expression" dxfId="15838" priority="26435">
      <formula>IF($B30="Quoting",TRUE,FALSE)</formula>
    </cfRule>
    <cfRule type="expression" dxfId="15837" priority="26436">
      <formula>IF($B30="Quoting",TRUE,FALSE)</formula>
    </cfRule>
    <cfRule type="expression" dxfId="15836" priority="26437">
      <formula>IF($B30="Quoting",TRUE,FALSE)</formula>
    </cfRule>
    <cfRule type="expression" dxfId="15835" priority="26438">
      <formula>IF($B30="Quoting",TRUE,FALSE)</formula>
    </cfRule>
    <cfRule type="expression" dxfId="15834" priority="26439">
      <formula>IF($B30="Quoting",TRUE,FALSE)</formula>
    </cfRule>
    <cfRule type="expression" dxfId="15833" priority="26440">
      <formula>IF($B30="Quoting",TRUE,FALSE)</formula>
    </cfRule>
    <cfRule type="expression" dxfId="15832" priority="26441">
      <formula>IF($B30="Quoting",TRUE,FALSE)</formula>
    </cfRule>
    <cfRule type="expression" dxfId="15831" priority="26442">
      <formula>IF($B30="Quoting",TRUE,FALSE)</formula>
    </cfRule>
    <cfRule type="expression" dxfId="15830" priority="26443">
      <formula>IF($B30="Quoting",TRUE,FALSE)</formula>
    </cfRule>
    <cfRule type="expression" dxfId="15829" priority="26444">
      <formula>IF($B30="Quoting",TRUE,FALSE)</formula>
    </cfRule>
    <cfRule type="expression" dxfId="15828" priority="26445">
      <formula>IF($B30="Quoting",TRUE,FALSE)</formula>
    </cfRule>
    <cfRule type="expression" dxfId="15827" priority="26446">
      <formula>IF($B30="Quoting",TRUE,FALSE)</formula>
    </cfRule>
    <cfRule type="expression" dxfId="15826" priority="26447">
      <formula>IF($B30="Quoting",TRUE,FALSE)</formula>
    </cfRule>
    <cfRule type="expression" dxfId="15825" priority="26448">
      <formula>IF($B30="Quoting",TRUE,FALSE)</formula>
    </cfRule>
    <cfRule type="expression" dxfId="15824" priority="26449">
      <formula>IF($B30="Quoting",TRUE,FALSE)</formula>
    </cfRule>
    <cfRule type="expression" dxfId="15823" priority="26450">
      <formula>IF($B30="Quoting",TRUE,FALSE)</formula>
    </cfRule>
    <cfRule type="expression" dxfId="15822" priority="26451">
      <formula>IF($B30="VOID",TRUE,FALSE)</formula>
    </cfRule>
    <cfRule type="expression" dxfId="15821" priority="26452">
      <formula>IF($B30="VOID",TRUE,FALSE)</formula>
    </cfRule>
    <cfRule type="expression" dxfId="15820" priority="26453">
      <formula>IF($B30="VOID",TRUE,FALSE)</formula>
    </cfRule>
    <cfRule type="expression" dxfId="15819" priority="26454">
      <formula>IF($B30="VOID",TRUE,FALSE)</formula>
    </cfRule>
    <cfRule type="expression" dxfId="15818" priority="26455">
      <formula>IF($B30="Quoting",TRUE,FALSE)</formula>
    </cfRule>
    <cfRule type="expression" dxfId="15817" priority="26456">
      <formula>IF($B30="Quoting",TRUE,FALSE)</formula>
    </cfRule>
    <cfRule type="expression" dxfId="15816" priority="26457">
      <formula>IF($B30="Quoting",TRUE,FALSE)</formula>
    </cfRule>
    <cfRule type="expression" dxfId="15815" priority="26458">
      <formula>IF($B30="Quoting",TRUE,FALSE)</formula>
    </cfRule>
    <cfRule type="expression" dxfId="15814" priority="26459">
      <formula>IF($B30="Quoting",TRUE,FALSE)</formula>
    </cfRule>
    <cfRule type="expression" dxfId="15813" priority="26460">
      <formula>IF($B30="Quoting",TRUE,FALSE)</formula>
    </cfRule>
    <cfRule type="expression" dxfId="15812" priority="26461">
      <formula>IF($B30="Quoting",TRUE,FALSE)</formula>
    </cfRule>
    <cfRule type="expression" dxfId="15811" priority="26462">
      <formula>IF($B30="Quoting",TRUE,FALSE)</formula>
    </cfRule>
    <cfRule type="expression" dxfId="15810" priority="26463">
      <formula>IF($B30="Quoting",TRUE,FALSE)</formula>
    </cfRule>
    <cfRule type="expression" dxfId="15809" priority="26464">
      <formula>IF($B30="Quoting",TRUE,FALSE)</formula>
    </cfRule>
    <cfRule type="expression" dxfId="15808" priority="26465">
      <formula>IF($B30="Quoting",TRUE,FALSE)</formula>
    </cfRule>
    <cfRule type="expression" dxfId="15807" priority="26466">
      <formula>IF($B30="Quoting",TRUE,FALSE)</formula>
    </cfRule>
    <cfRule type="expression" dxfId="15806" priority="26467">
      <formula>IF($B30="VOID",TRUE,FALSE)</formula>
    </cfRule>
    <cfRule type="expression" dxfId="15805" priority="26468">
      <formula>IF($B30="VOID",TRUE,FALSE)</formula>
    </cfRule>
    <cfRule type="expression" dxfId="15804" priority="26469">
      <formula>IF($B30="VOID",TRUE,FALSE)</formula>
    </cfRule>
    <cfRule type="expression" dxfId="15803" priority="26470">
      <formula>IF($B30="VOID",TRUE,FALSE)</formula>
    </cfRule>
    <cfRule type="expression" dxfId="15802" priority="26471">
      <formula>IF($B30="Quoting",TRUE,FALSE)</formula>
    </cfRule>
    <cfRule type="expression" dxfId="15801" priority="26472">
      <formula>IF($B30="Quoting",TRUE,FALSE)</formula>
    </cfRule>
    <cfRule type="expression" dxfId="15800" priority="26473">
      <formula>IF($B30="Quoting",TRUE,FALSE)</formula>
    </cfRule>
    <cfRule type="expression" dxfId="15799" priority="26474">
      <formula>IF($B30="VOID",TRUE,FALSE)</formula>
    </cfRule>
    <cfRule type="expression" dxfId="15798" priority="26475">
      <formula>IF($B30="VOID",TRUE,FALSE)</formula>
    </cfRule>
    <cfRule type="expression" dxfId="15797" priority="26476">
      <formula>IF($B30="Quoting",TRUE,FALSE)</formula>
    </cfRule>
    <cfRule type="expression" dxfId="15796" priority="26477">
      <formula>IF($B30="Quoting",TRUE,FALSE)</formula>
    </cfRule>
    <cfRule type="expression" dxfId="15795" priority="26478">
      <formula>IF($B30="Quoting",TRUE,FALSE)</formula>
    </cfRule>
    <cfRule type="expression" dxfId="15794" priority="26479">
      <formula>IF($B30="Quoting",TRUE,FALSE)</formula>
    </cfRule>
    <cfRule type="expression" dxfId="15793" priority="26480">
      <formula>IF($B30="Quoting",TRUE,FALSE)</formula>
    </cfRule>
    <cfRule type="expression" dxfId="15792" priority="26481">
      <formula>IF($B30="Quoting",TRUE,FALSE)</formula>
    </cfRule>
    <cfRule type="expression" dxfId="15791" priority="26482">
      <formula>IF($B30="Quoting",TRUE,FALSE)</formula>
    </cfRule>
    <cfRule type="expression" dxfId="15790" priority="26483">
      <formula>IF($B30="Quoting",TRUE,FALSE)</formula>
    </cfRule>
    <cfRule type="expression" dxfId="15789" priority="26484">
      <formula>IF($B30="Quoting",TRUE,FALSE)</formula>
    </cfRule>
    <cfRule type="expression" dxfId="15788" priority="26485">
      <formula>IF($B30="Quoting",TRUE,FALSE)</formula>
    </cfRule>
    <cfRule type="expression" dxfId="15787" priority="26486">
      <formula>IF($B30="Quoting",TRUE,FALSE)</formula>
    </cfRule>
    <cfRule type="expression" dxfId="15786" priority="26487">
      <formula>IF($B30="Quoting",TRUE,FALSE)</formula>
    </cfRule>
    <cfRule type="expression" dxfId="15785" priority="26488">
      <formula>IF($B30="Quoting",TRUE,FALSE)</formula>
    </cfRule>
    <cfRule type="expression" dxfId="15784" priority="26489">
      <formula>IF($B30="Quoting",TRUE,FALSE)</formula>
    </cfRule>
    <cfRule type="expression" dxfId="15783" priority="26490">
      <formula>IF($B30="Quoting",TRUE,FALSE)</formula>
    </cfRule>
    <cfRule type="expression" dxfId="15782" priority="26491">
      <formula>IF($B30="Quoting",TRUE,FALSE)</formula>
    </cfRule>
    <cfRule type="expression" dxfId="15781" priority="26492">
      <formula>IF($B30="Quoting",TRUE,FALSE)</formula>
    </cfRule>
    <cfRule type="expression" dxfId="15780" priority="26493">
      <formula>IF($B30="Quoting",TRUE,FALSE)</formula>
    </cfRule>
    <cfRule type="expression" dxfId="15779" priority="26494">
      <formula>IF($B30="Quoting",TRUE,FALSE)</formula>
    </cfRule>
    <cfRule type="expression" dxfId="15778" priority="26495">
      <formula>IF($B30="Quoting",TRUE,FALSE)</formula>
    </cfRule>
    <cfRule type="expression" dxfId="15777" priority="26496">
      <formula>IF($B30="Quoting",TRUE,FALSE)</formula>
    </cfRule>
    <cfRule type="expression" dxfId="15776" priority="26497">
      <formula>IF($B30="Quoting",TRUE,FALSE)</formula>
    </cfRule>
    <cfRule type="expression" dxfId="15775" priority="26498">
      <formula>IF($B30="Quoting",TRUE,FALSE)</formula>
    </cfRule>
    <cfRule type="expression" dxfId="15774" priority="26499">
      <formula>IF($B30="Quoting",TRUE,FALSE)</formula>
    </cfRule>
    <cfRule type="expression" dxfId="15773" priority="26500">
      <formula>IF($B30="VOID",TRUE,FALSE)</formula>
    </cfRule>
    <cfRule type="expression" dxfId="15772" priority="26501">
      <formula>IF($B30="Quoting",TRUE,FALSE)</formula>
    </cfRule>
    <cfRule type="expression" dxfId="15771" priority="26502">
      <formula>IF($B30="Quoting",TRUE,FALSE)</formula>
    </cfRule>
  </conditionalFormatting>
  <conditionalFormatting sqref="F31">
    <cfRule type="expression" dxfId="15770" priority="25093">
      <formula>IF($B31="Quoting",TRUE,FALSE)</formula>
    </cfRule>
  </conditionalFormatting>
  <conditionalFormatting sqref="F35">
    <cfRule type="expression" dxfId="15769" priority="23462">
      <formula>IF($B35="Quoting",TRUE,FALSE)</formula>
    </cfRule>
  </conditionalFormatting>
  <conditionalFormatting sqref="F36">
    <cfRule type="expression" dxfId="15768" priority="16173">
      <formula>IF($B36="Quoting",TRUE,FALSE)</formula>
    </cfRule>
    <cfRule type="expression" dxfId="15767" priority="16174">
      <formula>IF($B36="Quoting",TRUE,FALSE)</formula>
    </cfRule>
    <cfRule type="expression" dxfId="15766" priority="16175">
      <formula>IF($B36="Quoting",TRUE,FALSE)</formula>
    </cfRule>
    <cfRule type="expression" dxfId="15765" priority="16176">
      <formula>IF($B36="Quoting",TRUE,FALSE)</formula>
    </cfRule>
    <cfRule type="expression" dxfId="15764" priority="16177">
      <formula>IF($B36="Quoting",TRUE,FALSE)</formula>
    </cfRule>
    <cfRule type="expression" dxfId="15763" priority="16178">
      <formula>IF($B36="Quoting",TRUE,FALSE)</formula>
    </cfRule>
    <cfRule type="expression" dxfId="15762" priority="16179">
      <formula>IF($B36="Quoting",TRUE,FALSE)</formula>
    </cfRule>
    <cfRule type="expression" dxfId="15761" priority="16180">
      <formula>IF($B36="Quoting",TRUE,FALSE)</formula>
    </cfRule>
    <cfRule type="expression" dxfId="15760" priority="16181">
      <formula>IF($B36="Quoting",TRUE,FALSE)</formula>
    </cfRule>
    <cfRule type="expression" dxfId="15759" priority="16182">
      <formula>IF($B36="Quoting",TRUE,FALSE)</formula>
    </cfRule>
    <cfRule type="expression" dxfId="15758" priority="16183">
      <formula>IF($B36="Quoting",TRUE,FALSE)</formula>
    </cfRule>
    <cfRule type="expression" dxfId="15757" priority="16184">
      <formula>IF($B36="Quoting",TRUE,FALSE)</formula>
    </cfRule>
    <cfRule type="expression" dxfId="15756" priority="16185">
      <formula>IF($B36="Quoting",TRUE,FALSE)</formula>
    </cfRule>
    <cfRule type="expression" dxfId="15755" priority="16186">
      <formula>IF($B36="Quoting",TRUE,FALSE)</formula>
    </cfRule>
    <cfRule type="expression" dxfId="15754" priority="16187">
      <formula>IF($B36="Quoting",TRUE,FALSE)</formula>
    </cfRule>
    <cfRule type="expression" dxfId="15753" priority="16188">
      <formula>IF($B36="Quoting",TRUE,FALSE)</formula>
    </cfRule>
    <cfRule type="expression" dxfId="15752" priority="16189">
      <formula>IF($B36="Quoting",TRUE,FALSE)</formula>
    </cfRule>
    <cfRule type="expression" dxfId="15751" priority="16190">
      <formula>IF($B36="Quoting",TRUE,FALSE)</formula>
    </cfRule>
    <cfRule type="expression" dxfId="15750" priority="16191">
      <formula>IF($B36="Quoting",TRUE,FALSE)</formula>
    </cfRule>
    <cfRule type="expression" dxfId="15749" priority="16192">
      <formula>IF($B36="Quoting",TRUE,FALSE)</formula>
    </cfRule>
    <cfRule type="expression" dxfId="15748" priority="16193">
      <formula>IF($B36="Quoting",TRUE,FALSE)</formula>
    </cfRule>
    <cfRule type="expression" dxfId="15747" priority="16194">
      <formula>IF($B36="Quoting",TRUE,FALSE)</formula>
    </cfRule>
    <cfRule type="expression" dxfId="15746" priority="16195">
      <formula>IF($B36="Quoting",TRUE,FALSE)</formula>
    </cfRule>
    <cfRule type="expression" dxfId="15745" priority="16196">
      <formula>IF($B36="Quoting",TRUE,FALSE)</formula>
    </cfRule>
    <cfRule type="expression" dxfId="15744" priority="16197">
      <formula>IF($B36="Quoting",TRUE,FALSE)</formula>
    </cfRule>
    <cfRule type="expression" dxfId="15743" priority="16198">
      <formula>IF($B36="Quoting",TRUE,FALSE)</formula>
    </cfRule>
    <cfRule type="expression" dxfId="15742" priority="16199">
      <formula>IF($B36="Quoting",TRUE,FALSE)</formula>
    </cfRule>
    <cfRule type="expression" dxfId="15741" priority="16200">
      <formula>IF($B36="Quoting",TRUE,FALSE)</formula>
    </cfRule>
    <cfRule type="expression" dxfId="15740" priority="16201">
      <formula>IF($B36="Quoting",TRUE,FALSE)</formula>
    </cfRule>
    <cfRule type="expression" dxfId="15739" priority="16202">
      <formula>IF($B36="Quoting",TRUE,FALSE)</formula>
    </cfRule>
    <cfRule type="expression" dxfId="15738" priority="16203">
      <formula>IF($B36="Quoting",TRUE,FALSE)</formula>
    </cfRule>
    <cfRule type="expression" dxfId="15737" priority="16204">
      <formula>IF($B36="Quoting",TRUE,FALSE)</formula>
    </cfRule>
    <cfRule type="expression" dxfId="15736" priority="16205">
      <formula>IF($B36="Quoting",TRUE,FALSE)</formula>
    </cfRule>
    <cfRule type="expression" dxfId="15735" priority="16206">
      <formula>IF($B36="Quoting",TRUE,FALSE)</formula>
    </cfRule>
    <cfRule type="expression" dxfId="15734" priority="16207">
      <formula>IF($B36="Quoting",TRUE,FALSE)</formula>
    </cfRule>
    <cfRule type="expression" dxfId="15733" priority="16208">
      <formula>IF($B36="Quoting",TRUE,FALSE)</formula>
    </cfRule>
    <cfRule type="expression" dxfId="15732" priority="16209">
      <formula>IF($B36="Quoting",TRUE,FALSE)</formula>
    </cfRule>
    <cfRule type="expression" dxfId="15731" priority="16210">
      <formula>IF($B36="Quoting",TRUE,FALSE)</formula>
    </cfRule>
  </conditionalFormatting>
  <conditionalFormatting sqref="F37">
    <cfRule type="expression" dxfId="15730" priority="4130">
      <formula>IF($B37="Quoting",TRUE,FALSE)</formula>
    </cfRule>
    <cfRule type="expression" dxfId="15729" priority="4131">
      <formula>IF($B37="Quoting",TRUE,FALSE)</formula>
    </cfRule>
    <cfRule type="expression" dxfId="15728" priority="4132">
      <formula>IF($B37="Quoting",TRUE,FALSE)</formula>
    </cfRule>
  </conditionalFormatting>
  <conditionalFormatting sqref="F5:G5">
    <cfRule type="expression" dxfId="15727" priority="51807">
      <formula>IF($B5="Quoting",TRUE,FALSE)</formula>
    </cfRule>
    <cfRule type="expression" dxfId="15726" priority="51808">
      <formula>IF($B5="Quoting",TRUE,FALSE)</formula>
    </cfRule>
    <cfRule type="expression" dxfId="15725" priority="51809">
      <formula>IF($B5="Quoting",TRUE,FALSE)</formula>
    </cfRule>
    <cfRule type="expression" dxfId="15724" priority="51810">
      <formula>IF($B5="Quoting",TRUE,FALSE)</formula>
    </cfRule>
    <cfRule type="expression" dxfId="15723" priority="51811">
      <formula>IF($B5="Quoting",TRUE,FALSE)</formula>
    </cfRule>
    <cfRule type="expression" dxfId="15722" priority="51812">
      <formula>IF($B5="Quoting",TRUE,FALSE)</formula>
    </cfRule>
    <cfRule type="expression" dxfId="15721" priority="51813">
      <formula>IF($B5="Quoting",TRUE,FALSE)</formula>
    </cfRule>
    <cfRule type="expression" dxfId="15720" priority="51814">
      <formula>IF($B5="Quoting",TRUE,FALSE)</formula>
    </cfRule>
    <cfRule type="expression" dxfId="15719" priority="51815">
      <formula>IF($B5="Quoting",TRUE,FALSE)</formula>
    </cfRule>
    <cfRule type="expression" dxfId="15718" priority="51816">
      <formula>IF($B5="Quoting",TRUE,FALSE)</formula>
    </cfRule>
    <cfRule type="expression" dxfId="15717" priority="51817">
      <formula>IF($B5="Quoting",TRUE,FALSE)</formula>
    </cfRule>
    <cfRule type="expression" dxfId="15716" priority="51818">
      <formula>IF($B5="Quoting",TRUE,FALSE)</formula>
    </cfRule>
    <cfRule type="expression" dxfId="15715" priority="51819">
      <formula>IF($B5="VOID",TRUE,FALSE)</formula>
    </cfRule>
    <cfRule type="expression" dxfId="15714" priority="51820">
      <formula>IF($B5="VOID",TRUE,FALSE)</formula>
    </cfRule>
    <cfRule type="expression" dxfId="15713" priority="51821">
      <formula>IF($B5="VOID",TRUE,FALSE)</formula>
    </cfRule>
    <cfRule type="expression" dxfId="15712" priority="51822">
      <formula>IF($B5="VOID",TRUE,FALSE)</formula>
    </cfRule>
    <cfRule type="expression" dxfId="15711" priority="51823">
      <formula>IF($B5="Quoting",TRUE,FALSE)</formula>
    </cfRule>
    <cfRule type="expression" dxfId="15710" priority="51824">
      <formula>IF($B5="Quoting",TRUE,FALSE)</formula>
    </cfRule>
    <cfRule type="expression" dxfId="15709" priority="51825">
      <formula>IF($B5="Quoting",TRUE,FALSE)</formula>
    </cfRule>
    <cfRule type="expression" dxfId="15708" priority="51826">
      <formula>IF($B5="Quoting",TRUE,FALSE)</formula>
    </cfRule>
    <cfRule type="expression" dxfId="15707" priority="51827">
      <formula>IF($B5="Quoting",TRUE,FALSE)</formula>
    </cfRule>
    <cfRule type="expression" dxfId="15706" priority="51828">
      <formula>IF($B5="Quoting",TRUE,FALSE)</formula>
    </cfRule>
    <cfRule type="expression" dxfId="15705" priority="51829">
      <formula>IF($B5="Quoting",TRUE,FALSE)</formula>
    </cfRule>
    <cfRule type="expression" dxfId="15704" priority="51830">
      <formula>IF($B5="Quoting",TRUE,FALSE)</formula>
    </cfRule>
    <cfRule type="expression" dxfId="15703" priority="51831">
      <formula>IF($B5="Quoting",TRUE,FALSE)</formula>
    </cfRule>
    <cfRule type="expression" dxfId="15702" priority="51832">
      <formula>IF($B5="Quoting",TRUE,FALSE)</formula>
    </cfRule>
    <cfRule type="expression" dxfId="15701" priority="51833">
      <formula>IF($B5="Quoting",TRUE,FALSE)</formula>
    </cfRule>
    <cfRule type="expression" dxfId="15700" priority="51834">
      <formula>IF($B5="Quoting",TRUE,FALSE)</formula>
    </cfRule>
    <cfRule type="expression" dxfId="15699" priority="51835">
      <formula>IF($B5="VOID",TRUE,FALSE)</formula>
    </cfRule>
    <cfRule type="expression" dxfId="15698" priority="51836">
      <formula>IF($B5="VOID",TRUE,FALSE)</formula>
    </cfRule>
    <cfRule type="expression" dxfId="15697" priority="51837">
      <formula>IF($B5="VOID",TRUE,FALSE)</formula>
    </cfRule>
    <cfRule type="expression" dxfId="15696" priority="51838">
      <formula>IF($B5="VOID",TRUE,FALSE)</formula>
    </cfRule>
    <cfRule type="expression" dxfId="15695" priority="51839">
      <formula>IF($B5="VOID",TRUE,FALSE)</formula>
    </cfRule>
  </conditionalFormatting>
  <conditionalFormatting sqref="F6:G6">
    <cfRule type="expression" dxfId="15694" priority="44269">
      <formula>IF($B6="Quoting",TRUE,FALSE)</formula>
    </cfRule>
    <cfRule type="expression" dxfId="15693" priority="51764">
      <formula>IF($B6="Quoting",TRUE,FALSE)</formula>
    </cfRule>
    <cfRule type="expression" dxfId="15692" priority="51765">
      <formula>IF($B6="Quoting",TRUE,FALSE)</formula>
    </cfRule>
    <cfRule type="expression" dxfId="15691" priority="51766">
      <formula>IF($B6="Quoting",TRUE,FALSE)</formula>
    </cfRule>
    <cfRule type="expression" dxfId="15690" priority="51767">
      <formula>IF($B6="Quoting",TRUE,FALSE)</formula>
    </cfRule>
    <cfRule type="expression" dxfId="15689" priority="51768">
      <formula>IF($B6="Quoting",TRUE,FALSE)</formula>
    </cfRule>
    <cfRule type="expression" dxfId="15688" priority="51769">
      <formula>IF($B6="Quoting",TRUE,FALSE)</formula>
    </cfRule>
    <cfRule type="expression" dxfId="15687" priority="51770">
      <formula>IF($B6="Quoting",TRUE,FALSE)</formula>
    </cfRule>
    <cfRule type="expression" dxfId="15686" priority="51771">
      <formula>IF($B6="Quoting",TRUE,FALSE)</formula>
    </cfRule>
    <cfRule type="expression" dxfId="15685" priority="51772">
      <formula>IF($B6="Quoting",TRUE,FALSE)</formula>
    </cfRule>
    <cfRule type="expression" dxfId="15684" priority="51773">
      <formula>IF($B6="Quoting",TRUE,FALSE)</formula>
    </cfRule>
    <cfRule type="expression" dxfId="15683" priority="51774">
      <formula>IF($B6="Quoting",TRUE,FALSE)</formula>
    </cfRule>
    <cfRule type="expression" dxfId="15682" priority="51775">
      <formula>IF($B6="Quoting",TRUE,FALSE)</formula>
    </cfRule>
    <cfRule type="expression" dxfId="15681" priority="51776">
      <formula>IF($B6="VOID",TRUE,FALSE)</formula>
    </cfRule>
    <cfRule type="expression" dxfId="15680" priority="51777">
      <formula>IF($B6="VOID",TRUE,FALSE)</formula>
    </cfRule>
    <cfRule type="expression" dxfId="15679" priority="51778">
      <formula>IF($B6="VOID",TRUE,FALSE)</formula>
    </cfRule>
    <cfRule type="expression" dxfId="15678" priority="51779">
      <formula>IF($B6="VOID",TRUE,FALSE)</formula>
    </cfRule>
    <cfRule type="expression" dxfId="15677" priority="51780">
      <formula>IF($B6="Quoting",TRUE,FALSE)</formula>
    </cfRule>
    <cfRule type="expression" dxfId="15676" priority="51781">
      <formula>IF($B6="Quoting",TRUE,FALSE)</formula>
    </cfRule>
    <cfRule type="expression" dxfId="15675" priority="51782">
      <formula>IF($B6="Quoting",TRUE,FALSE)</formula>
    </cfRule>
    <cfRule type="expression" dxfId="15674" priority="51783">
      <formula>IF($B6="Quoting",TRUE,FALSE)</formula>
    </cfRule>
    <cfRule type="expression" dxfId="15673" priority="51784">
      <formula>IF($B6="Quoting",TRUE,FALSE)</formula>
    </cfRule>
    <cfRule type="expression" dxfId="15672" priority="51785">
      <formula>IF($B6="Quoting",TRUE,FALSE)</formula>
    </cfRule>
    <cfRule type="expression" dxfId="15671" priority="51786">
      <formula>IF($B6="Quoting",TRUE,FALSE)</formula>
    </cfRule>
    <cfRule type="expression" dxfId="15670" priority="51787">
      <formula>IF($B6="Quoting",TRUE,FALSE)</formula>
    </cfRule>
    <cfRule type="expression" dxfId="15669" priority="51788">
      <formula>IF($B6="Quoting",TRUE,FALSE)</formula>
    </cfRule>
    <cfRule type="expression" dxfId="15668" priority="51789">
      <formula>IF($B6="Quoting",TRUE,FALSE)</formula>
    </cfRule>
    <cfRule type="expression" dxfId="15667" priority="51790">
      <formula>IF($B6="Quoting",TRUE,FALSE)</formula>
    </cfRule>
    <cfRule type="expression" dxfId="15666" priority="51791">
      <formula>IF($B6="Quoting",TRUE,FALSE)</formula>
    </cfRule>
    <cfRule type="expression" dxfId="15665" priority="51792">
      <formula>IF($B6="VOID",TRUE,FALSE)</formula>
    </cfRule>
    <cfRule type="expression" dxfId="15664" priority="51793">
      <formula>IF($B6="VOID",TRUE,FALSE)</formula>
    </cfRule>
    <cfRule type="expression" dxfId="15663" priority="51794">
      <formula>IF($B6="VOID",TRUE,FALSE)</formula>
    </cfRule>
    <cfRule type="expression" dxfId="15662" priority="51795">
      <formula>IF($B6="VOID",TRUE,FALSE)</formula>
    </cfRule>
    <cfRule type="expression" dxfId="15661" priority="51796">
      <formula>IF($B6="VOID",TRUE,FALSE)</formula>
    </cfRule>
  </conditionalFormatting>
  <conditionalFormatting sqref="F7:G7">
    <cfRule type="expression" dxfId="15660" priority="51480">
      <formula>IF($B7="VOID",TRUE,FALSE)</formula>
    </cfRule>
    <cfRule type="expression" dxfId="15659" priority="51481">
      <formula>IF($B7="VOID",TRUE,FALSE)</formula>
    </cfRule>
    <cfRule type="expression" dxfId="15658" priority="51482">
      <formula>IF($B7="VOID",TRUE,FALSE)</formula>
    </cfRule>
    <cfRule type="expression" dxfId="15657" priority="51483">
      <formula>IF($B7="VOID",TRUE,FALSE)</formula>
    </cfRule>
    <cfRule type="expression" dxfId="15656" priority="51486">
      <formula>IF($B7="VOID",TRUE,FALSE)</formula>
    </cfRule>
    <cfRule type="expression" dxfId="15655" priority="51487">
      <formula>IF($B7="VOID",TRUE,FALSE)</formula>
    </cfRule>
    <cfRule type="expression" dxfId="15654" priority="51488">
      <formula>IF($B7="VOID",TRUE,FALSE)</formula>
    </cfRule>
    <cfRule type="expression" dxfId="15653" priority="51489">
      <formula>IF($B7="VOID",TRUE,FALSE)</formula>
    </cfRule>
    <cfRule type="expression" dxfId="15652" priority="51490">
      <formula>IF($B7="VOID",TRUE,FALSE)</formula>
    </cfRule>
    <cfRule type="expression" dxfId="15651" priority="51491">
      <formula>IF($B7="VOID",TRUE,FALSE)</formula>
    </cfRule>
    <cfRule type="expression" dxfId="15650" priority="51492">
      <formula>IF($B7="VOID",TRUE,FALSE)</formula>
    </cfRule>
    <cfRule type="expression" dxfId="15649" priority="51493">
      <formula>IF($B7="VOID",TRUE,FALSE)</formula>
    </cfRule>
    <cfRule type="expression" dxfId="15648" priority="51494">
      <formula>IF($B7="VOID",TRUE,FALSE)</formula>
    </cfRule>
    <cfRule type="expression" dxfId="15647" priority="51495">
      <formula>IF($B7="Quoting",TRUE,FALSE)</formula>
    </cfRule>
    <cfRule type="expression" dxfId="15646" priority="51496">
      <formula>IF($B7="Quoting",TRUE,FALSE)</formula>
    </cfRule>
    <cfRule type="expression" dxfId="15645" priority="51497">
      <formula>IF($B7="Quoting",TRUE,FALSE)</formula>
    </cfRule>
    <cfRule type="expression" dxfId="15644" priority="51498">
      <formula>IF($B7="Quoting",TRUE,FALSE)</formula>
    </cfRule>
    <cfRule type="expression" dxfId="15643" priority="51499">
      <formula>IF($B7="Quoting",TRUE,FALSE)</formula>
    </cfRule>
    <cfRule type="expression" dxfId="15642" priority="51500">
      <formula>IF($B7="Quoting",TRUE,FALSE)</formula>
    </cfRule>
    <cfRule type="expression" dxfId="15641" priority="51501">
      <formula>IF($B7="Quoting",TRUE,FALSE)</formula>
    </cfRule>
    <cfRule type="expression" dxfId="15640" priority="51502">
      <formula>IF($B7="Quoting",TRUE,FALSE)</formula>
    </cfRule>
    <cfRule type="expression" dxfId="15639" priority="51503">
      <formula>IF($B7="Quoting",TRUE,FALSE)</formula>
    </cfRule>
    <cfRule type="expression" dxfId="15638" priority="51504">
      <formula>IF($B7="Quoting",TRUE,FALSE)</formula>
    </cfRule>
    <cfRule type="expression" dxfId="15637" priority="51505">
      <formula>IF($B7="Quoting",TRUE,FALSE)</formula>
    </cfRule>
    <cfRule type="expression" dxfId="15636" priority="51506">
      <formula>IF($B7="Quoting",TRUE,FALSE)</formula>
    </cfRule>
    <cfRule type="expression" dxfId="15635" priority="51507">
      <formula>IF($B7="VOID",TRUE,FALSE)</formula>
    </cfRule>
    <cfRule type="expression" dxfId="15634" priority="51508">
      <formula>IF($B7="VOID",TRUE,FALSE)</formula>
    </cfRule>
    <cfRule type="expression" dxfId="15633" priority="51509">
      <formula>IF($B7="VOID",TRUE,FALSE)</formula>
    </cfRule>
    <cfRule type="expression" dxfId="15632" priority="51510">
      <formula>IF($B7="Quoting",TRUE,FALSE)</formula>
    </cfRule>
    <cfRule type="expression" dxfId="15631" priority="51511">
      <formula>IF($B7="Quoting",TRUE,FALSE)</formula>
    </cfRule>
    <cfRule type="expression" dxfId="15630" priority="51512">
      <formula>IF($B7="Quoting",TRUE,FALSE)</formula>
    </cfRule>
    <cfRule type="expression" dxfId="15629" priority="51513">
      <formula>IF($B7="Quoting",TRUE,FALSE)</formula>
    </cfRule>
    <cfRule type="expression" dxfId="15628" priority="51514">
      <formula>IF($B7="Quoting",TRUE,FALSE)</formula>
    </cfRule>
    <cfRule type="expression" dxfId="15627" priority="51515">
      <formula>IF($B7="Quoting",TRUE,FALSE)</formula>
    </cfRule>
    <cfRule type="expression" dxfId="15626" priority="51516">
      <formula>IF($B7="Quoting",TRUE,FALSE)</formula>
    </cfRule>
    <cfRule type="expression" dxfId="15625" priority="51517">
      <formula>IF($B7="Quoting",TRUE,FALSE)</formula>
    </cfRule>
    <cfRule type="expression" dxfId="15624" priority="51518">
      <formula>IF($B7="Quoting",TRUE,FALSE)</formula>
    </cfRule>
    <cfRule type="expression" dxfId="15623" priority="51519">
      <formula>IF($B7="Quoting",TRUE,FALSE)</formula>
    </cfRule>
    <cfRule type="expression" dxfId="15622" priority="51520">
      <formula>IF($B7="Quoting",TRUE,FALSE)</formula>
    </cfRule>
    <cfRule type="expression" dxfId="15621" priority="51521">
      <formula>IF($B7="Quoting",TRUE,FALSE)</formula>
    </cfRule>
    <cfRule type="expression" dxfId="15620" priority="51522">
      <formula>IF($B7="VOID",TRUE,FALSE)</formula>
    </cfRule>
    <cfRule type="expression" dxfId="15619" priority="51523">
      <formula>IF($B7="VOID",TRUE,FALSE)</formula>
    </cfRule>
    <cfRule type="expression" dxfId="15618" priority="51524">
      <formula>IF($B7="VOID",TRUE,FALSE)</formula>
    </cfRule>
    <cfRule type="expression" dxfId="15617" priority="51525">
      <formula>IF($B7="VOID",TRUE,FALSE)</formula>
    </cfRule>
    <cfRule type="expression" dxfId="15616" priority="51526">
      <formula>IF($B7="VOID",TRUE,FALSE)</formula>
    </cfRule>
    <cfRule type="expression" dxfId="15615" priority="51664">
      <formula>IF($B7="VOID",TRUE,FALSE)</formula>
    </cfRule>
  </conditionalFormatting>
  <conditionalFormatting sqref="F8:G8">
    <cfRule type="expression" dxfId="15614" priority="51138">
      <formula>IF($B8="Quoting",TRUE,FALSE)</formula>
    </cfRule>
    <cfRule type="expression" dxfId="15613" priority="51139">
      <formula>IF($B8="Quoting",TRUE,FALSE)</formula>
    </cfRule>
    <cfRule type="expression" dxfId="15612" priority="51140">
      <formula>IF($B8="Quoting",TRUE,FALSE)</formula>
    </cfRule>
    <cfRule type="expression" dxfId="15611" priority="51141">
      <formula>IF($B8="Quoting",TRUE,FALSE)</formula>
    </cfRule>
    <cfRule type="expression" dxfId="15610" priority="51142">
      <formula>IF($B8="Quoting",TRUE,FALSE)</formula>
    </cfRule>
    <cfRule type="expression" dxfId="15609" priority="51143">
      <formula>IF($B8="Quoting",TRUE,FALSE)</formula>
    </cfRule>
    <cfRule type="expression" dxfId="15608" priority="51144">
      <formula>IF($B8="Quoting",TRUE,FALSE)</formula>
    </cfRule>
    <cfRule type="expression" dxfId="15607" priority="51145">
      <formula>IF($B8="Quoting",TRUE,FALSE)</formula>
    </cfRule>
    <cfRule type="expression" dxfId="15606" priority="51146">
      <formula>IF($B8="Quoting",TRUE,FALSE)</formula>
    </cfRule>
    <cfRule type="expression" dxfId="15605" priority="51147">
      <formula>IF($B8="Quoting",TRUE,FALSE)</formula>
    </cfRule>
    <cfRule type="expression" dxfId="15604" priority="51148">
      <formula>IF($B8="Quoting",TRUE,FALSE)</formula>
    </cfRule>
    <cfRule type="expression" dxfId="15603" priority="51149">
      <formula>IF($B8="Quoting",TRUE,FALSE)</formula>
    </cfRule>
    <cfRule type="expression" dxfId="15602" priority="51150">
      <formula>IF($B8="VOID",TRUE,FALSE)</formula>
    </cfRule>
    <cfRule type="expression" dxfId="15601" priority="51151">
      <formula>IF($B8="VOID",TRUE,FALSE)</formula>
    </cfRule>
    <cfRule type="expression" dxfId="15600" priority="51152">
      <formula>IF($B8="VOID",TRUE,FALSE)</formula>
    </cfRule>
    <cfRule type="expression" dxfId="15599" priority="51153">
      <formula>IF($B8="VOID",TRUE,FALSE)</formula>
    </cfRule>
    <cfRule type="expression" dxfId="15598" priority="51154">
      <formula>IF($B8="Quoting",TRUE,FALSE)</formula>
    </cfRule>
    <cfRule type="expression" dxfId="15597" priority="51155">
      <formula>IF($B8="Quoting",TRUE,FALSE)</formula>
    </cfRule>
    <cfRule type="expression" dxfId="15596" priority="51156">
      <formula>IF($B8="Quoting",TRUE,FALSE)</formula>
    </cfRule>
    <cfRule type="expression" dxfId="15595" priority="51157">
      <formula>IF($B8="Quoting",TRUE,FALSE)</formula>
    </cfRule>
    <cfRule type="expression" dxfId="15594" priority="51158">
      <formula>IF($B8="Quoting",TRUE,FALSE)</formula>
    </cfRule>
    <cfRule type="expression" dxfId="15593" priority="51159">
      <formula>IF($B8="Quoting",TRUE,FALSE)</formula>
    </cfRule>
    <cfRule type="expression" dxfId="15592" priority="51160">
      <formula>IF($B8="Quoting",TRUE,FALSE)</formula>
    </cfRule>
    <cfRule type="expression" dxfId="15591" priority="51161">
      <formula>IF($B8="Quoting",TRUE,FALSE)</formula>
    </cfRule>
    <cfRule type="expression" dxfId="15590" priority="51162">
      <formula>IF($B8="Quoting",TRUE,FALSE)</formula>
    </cfRule>
    <cfRule type="expression" dxfId="15589" priority="51163">
      <formula>IF($B8="Quoting",TRUE,FALSE)</formula>
    </cfRule>
    <cfRule type="expression" dxfId="15588" priority="51164">
      <formula>IF($B8="Quoting",TRUE,FALSE)</formula>
    </cfRule>
    <cfRule type="expression" dxfId="15587" priority="51165">
      <formula>IF($B8="Quoting",TRUE,FALSE)</formula>
    </cfRule>
    <cfRule type="expression" dxfId="15586" priority="51166">
      <formula>IF($B8="VOID",TRUE,FALSE)</formula>
    </cfRule>
    <cfRule type="expression" dxfId="15585" priority="51167">
      <formula>IF($B8="VOID",TRUE,FALSE)</formula>
    </cfRule>
    <cfRule type="expression" dxfId="15584" priority="51168">
      <formula>IF($B8="VOID",TRUE,FALSE)</formula>
    </cfRule>
    <cfRule type="expression" dxfId="15583" priority="51169">
      <formula>IF($B8="VOID",TRUE,FALSE)</formula>
    </cfRule>
    <cfRule type="expression" dxfId="15582" priority="51170">
      <formula>IF($B8="VOID",TRUE,FALSE)</formula>
    </cfRule>
  </conditionalFormatting>
  <conditionalFormatting sqref="F9:G9">
    <cfRule type="expression" dxfId="15581" priority="50922">
      <formula>IF($B9="VOID",TRUE,FALSE)</formula>
    </cfRule>
    <cfRule type="expression" dxfId="15580" priority="50923">
      <formula>IF($B9="VOID",TRUE,FALSE)</formula>
    </cfRule>
    <cfRule type="expression" dxfId="15579" priority="50924">
      <formula>IF($B9="VOID",TRUE,FALSE)</formula>
    </cfRule>
    <cfRule type="expression" dxfId="15578" priority="50925">
      <formula>IF($B9="VOID",TRUE,FALSE)</formula>
    </cfRule>
    <cfRule type="expression" dxfId="15577" priority="50928">
      <formula>IF($B9="VOID",TRUE,FALSE)</formula>
    </cfRule>
    <cfRule type="expression" dxfId="15576" priority="50929">
      <formula>IF($B9="VOID",TRUE,FALSE)</formula>
    </cfRule>
    <cfRule type="expression" dxfId="15575" priority="50930">
      <formula>IF($B9="VOID",TRUE,FALSE)</formula>
    </cfRule>
    <cfRule type="expression" dxfId="15574" priority="50931">
      <formula>IF($B9="VOID",TRUE,FALSE)</formula>
    </cfRule>
    <cfRule type="expression" dxfId="15573" priority="50932">
      <formula>IF($B9="VOID",TRUE,FALSE)</formula>
    </cfRule>
    <cfRule type="expression" dxfId="15572" priority="50933">
      <formula>IF($B9="VOID",TRUE,FALSE)</formula>
    </cfRule>
    <cfRule type="expression" dxfId="15571" priority="50934">
      <formula>IF($B9="VOID",TRUE,FALSE)</formula>
    </cfRule>
    <cfRule type="expression" dxfId="15570" priority="50935">
      <formula>IF($B9="VOID",TRUE,FALSE)</formula>
    </cfRule>
    <cfRule type="expression" dxfId="15569" priority="50936">
      <formula>IF($B9="VOID",TRUE,FALSE)</formula>
    </cfRule>
    <cfRule type="expression" dxfId="15568" priority="50937">
      <formula>IF($B9="Quoting",TRUE,FALSE)</formula>
    </cfRule>
    <cfRule type="expression" dxfId="15567" priority="50938">
      <formula>IF($B9="Quoting",TRUE,FALSE)</formula>
    </cfRule>
    <cfRule type="expression" dxfId="15566" priority="50939">
      <formula>IF($B9="Quoting",TRUE,FALSE)</formula>
    </cfRule>
    <cfRule type="expression" dxfId="15565" priority="50940">
      <formula>IF($B9="Quoting",TRUE,FALSE)</formula>
    </cfRule>
    <cfRule type="expression" dxfId="15564" priority="50941">
      <formula>IF($B9="Quoting",TRUE,FALSE)</formula>
    </cfRule>
    <cfRule type="expression" dxfId="15563" priority="50942">
      <formula>IF($B9="Quoting",TRUE,FALSE)</formula>
    </cfRule>
    <cfRule type="expression" dxfId="15562" priority="50943">
      <formula>IF($B9="Quoting",TRUE,FALSE)</formula>
    </cfRule>
    <cfRule type="expression" dxfId="15561" priority="50944">
      <formula>IF($B9="Quoting",TRUE,FALSE)</formula>
    </cfRule>
    <cfRule type="expression" dxfId="15560" priority="50945">
      <formula>IF($B9="Quoting",TRUE,FALSE)</formula>
    </cfRule>
    <cfRule type="expression" dxfId="15559" priority="50946">
      <formula>IF($B9="Quoting",TRUE,FALSE)</formula>
    </cfRule>
    <cfRule type="expression" dxfId="15558" priority="50947">
      <formula>IF($B9="Quoting",TRUE,FALSE)</formula>
    </cfRule>
    <cfRule type="expression" dxfId="15557" priority="50948">
      <formula>IF($B9="Quoting",TRUE,FALSE)</formula>
    </cfRule>
    <cfRule type="expression" dxfId="15556" priority="50949">
      <formula>IF($B9="VOID",TRUE,FALSE)</formula>
    </cfRule>
    <cfRule type="expression" dxfId="15555" priority="50950">
      <formula>IF($B9="VOID",TRUE,FALSE)</formula>
    </cfRule>
    <cfRule type="expression" dxfId="15554" priority="50951">
      <formula>IF($B9="VOID",TRUE,FALSE)</formula>
    </cfRule>
    <cfRule type="expression" dxfId="15553" priority="50952">
      <formula>IF($B9="Quoting",TRUE,FALSE)</formula>
    </cfRule>
    <cfRule type="expression" dxfId="15552" priority="50953">
      <formula>IF($B9="Quoting",TRUE,FALSE)</formula>
    </cfRule>
    <cfRule type="expression" dxfId="15551" priority="50954">
      <formula>IF($B9="Quoting",TRUE,FALSE)</formula>
    </cfRule>
    <cfRule type="expression" dxfId="15550" priority="50955">
      <formula>IF($B9="Quoting",TRUE,FALSE)</formula>
    </cfRule>
    <cfRule type="expression" dxfId="15549" priority="50956">
      <formula>IF($B9="Quoting",TRUE,FALSE)</formula>
    </cfRule>
    <cfRule type="expression" dxfId="15548" priority="50957">
      <formula>IF($B9="Quoting",TRUE,FALSE)</formula>
    </cfRule>
    <cfRule type="expression" dxfId="15547" priority="50958">
      <formula>IF($B9="Quoting",TRUE,FALSE)</formula>
    </cfRule>
    <cfRule type="expression" dxfId="15546" priority="50959">
      <formula>IF($B9="Quoting",TRUE,FALSE)</formula>
    </cfRule>
    <cfRule type="expression" dxfId="15545" priority="50960">
      <formula>IF($B9="Quoting",TRUE,FALSE)</formula>
    </cfRule>
    <cfRule type="expression" dxfId="15544" priority="50961">
      <formula>IF($B9="Quoting",TRUE,FALSE)</formula>
    </cfRule>
    <cfRule type="expression" dxfId="15543" priority="50962">
      <formula>IF($B9="Quoting",TRUE,FALSE)</formula>
    </cfRule>
    <cfRule type="expression" dxfId="15542" priority="50963">
      <formula>IF($B9="Quoting",TRUE,FALSE)</formula>
    </cfRule>
    <cfRule type="expression" dxfId="15541" priority="50964">
      <formula>IF($B9="VOID",TRUE,FALSE)</formula>
    </cfRule>
    <cfRule type="expression" dxfId="15540" priority="50965">
      <formula>IF($B9="VOID",TRUE,FALSE)</formula>
    </cfRule>
    <cfRule type="expression" dxfId="15539" priority="50966">
      <formula>IF($B9="VOID",TRUE,FALSE)</formula>
    </cfRule>
    <cfRule type="expression" dxfId="15538" priority="50967">
      <formula>IF($B9="VOID",TRUE,FALSE)</formula>
    </cfRule>
    <cfRule type="expression" dxfId="15537" priority="50968">
      <formula>IF($B9="VOID",TRUE,FALSE)</formula>
    </cfRule>
    <cfRule type="expression" dxfId="15536" priority="51106">
      <formula>IF($B9="VOID",TRUE,FALSE)</formula>
    </cfRule>
  </conditionalFormatting>
  <conditionalFormatting sqref="F10:G10">
    <cfRule type="expression" dxfId="15535" priority="50577">
      <formula>IF($B10="Quoting",TRUE,FALSE)</formula>
    </cfRule>
    <cfRule type="expression" dxfId="15534" priority="50578">
      <formula>IF($B10="Quoting",TRUE,FALSE)</formula>
    </cfRule>
    <cfRule type="expression" dxfId="15533" priority="50579">
      <formula>IF($B10="Quoting",TRUE,FALSE)</formula>
    </cfRule>
    <cfRule type="expression" dxfId="15532" priority="50580">
      <formula>IF($B10="Quoting",TRUE,FALSE)</formula>
    </cfRule>
    <cfRule type="expression" dxfId="15531" priority="50581">
      <formula>IF($B10="Quoting",TRUE,FALSE)</formula>
    </cfRule>
    <cfRule type="expression" dxfId="15530" priority="50582">
      <formula>IF($B10="Quoting",TRUE,FALSE)</formula>
    </cfRule>
    <cfRule type="expression" dxfId="15529" priority="50583">
      <formula>IF($B10="Quoting",TRUE,FALSE)</formula>
    </cfRule>
    <cfRule type="expression" dxfId="15528" priority="50584">
      <formula>IF($B10="Quoting",TRUE,FALSE)</formula>
    </cfRule>
    <cfRule type="expression" dxfId="15527" priority="50585">
      <formula>IF($B10="Quoting",TRUE,FALSE)</formula>
    </cfRule>
    <cfRule type="expression" dxfId="15526" priority="50586">
      <formula>IF($B10="Quoting",TRUE,FALSE)</formula>
    </cfRule>
    <cfRule type="expression" dxfId="15525" priority="50587">
      <formula>IF($B10="Quoting",TRUE,FALSE)</formula>
    </cfRule>
    <cfRule type="expression" dxfId="15524" priority="50588">
      <formula>IF($B10="Quoting",TRUE,FALSE)</formula>
    </cfRule>
    <cfRule type="expression" dxfId="15523" priority="50589">
      <formula>IF($B10="VOID",TRUE,FALSE)</formula>
    </cfRule>
    <cfRule type="expression" dxfId="15522" priority="50590">
      <formula>IF($B10="VOID",TRUE,FALSE)</formula>
    </cfRule>
    <cfRule type="expression" dxfId="15521" priority="50591">
      <formula>IF($B10="VOID",TRUE,FALSE)</formula>
    </cfRule>
    <cfRule type="expression" dxfId="15520" priority="50592">
      <formula>IF($B10="VOID",TRUE,FALSE)</formula>
    </cfRule>
    <cfRule type="expression" dxfId="15519" priority="50593">
      <formula>IF($B10="Quoting",TRUE,FALSE)</formula>
    </cfRule>
    <cfRule type="expression" dxfId="15518" priority="50594">
      <formula>IF($B10="Quoting",TRUE,FALSE)</formula>
    </cfRule>
    <cfRule type="expression" dxfId="15517" priority="50595">
      <formula>IF($B10="Quoting",TRUE,FALSE)</formula>
    </cfRule>
    <cfRule type="expression" dxfId="15516" priority="50596">
      <formula>IF($B10="Quoting",TRUE,FALSE)</formula>
    </cfRule>
    <cfRule type="expression" dxfId="15515" priority="50597">
      <formula>IF($B10="Quoting",TRUE,FALSE)</formula>
    </cfRule>
    <cfRule type="expression" dxfId="15514" priority="50598">
      <formula>IF($B10="Quoting",TRUE,FALSE)</formula>
    </cfRule>
    <cfRule type="expression" dxfId="15513" priority="50599">
      <formula>IF($B10="Quoting",TRUE,FALSE)</formula>
    </cfRule>
    <cfRule type="expression" dxfId="15512" priority="50600">
      <formula>IF($B10="Quoting",TRUE,FALSE)</formula>
    </cfRule>
    <cfRule type="expression" dxfId="15511" priority="50601">
      <formula>IF($B10="Quoting",TRUE,FALSE)</formula>
    </cfRule>
    <cfRule type="expression" dxfId="15510" priority="50602">
      <formula>IF($B10="Quoting",TRUE,FALSE)</formula>
    </cfRule>
    <cfRule type="expression" dxfId="15509" priority="50603">
      <formula>IF($B10="Quoting",TRUE,FALSE)</formula>
    </cfRule>
    <cfRule type="expression" dxfId="15508" priority="50604">
      <formula>IF($B10="Quoting",TRUE,FALSE)</formula>
    </cfRule>
    <cfRule type="expression" dxfId="15507" priority="50605">
      <formula>IF($B10="VOID",TRUE,FALSE)</formula>
    </cfRule>
    <cfRule type="expression" dxfId="15506" priority="50606">
      <formula>IF($B10="VOID",TRUE,FALSE)</formula>
    </cfRule>
    <cfRule type="expression" dxfId="15505" priority="50607">
      <formula>IF($B10="VOID",TRUE,FALSE)</formula>
    </cfRule>
    <cfRule type="expression" dxfId="15504" priority="50608">
      <formula>IF($B10="VOID",TRUE,FALSE)</formula>
    </cfRule>
    <cfRule type="expression" dxfId="15503" priority="50609">
      <formula>IF($B10="VOID",TRUE,FALSE)</formula>
    </cfRule>
  </conditionalFormatting>
  <conditionalFormatting sqref="F14:G14">
    <cfRule type="expression" dxfId="15502" priority="49972">
      <formula>IF($B14="Quoting",TRUE,FALSE)</formula>
    </cfRule>
    <cfRule type="expression" dxfId="15501" priority="49973">
      <formula>IF($B14="Quoting",TRUE,FALSE)</formula>
    </cfRule>
    <cfRule type="expression" dxfId="15500" priority="49974">
      <formula>IF($B14="Quoting",TRUE,FALSE)</formula>
    </cfRule>
    <cfRule type="expression" dxfId="15499" priority="49975">
      <formula>IF($B14="VOID",TRUE,FALSE)</formula>
    </cfRule>
  </conditionalFormatting>
  <conditionalFormatting sqref="F18:G18">
    <cfRule type="expression" dxfId="15498" priority="49519">
      <formula>IF($B18="Larry",TRUE,FALSE)</formula>
    </cfRule>
    <cfRule type="expression" dxfId="15497" priority="49520">
      <formula>IF($B18="VOID",TRUE,FALSE)</formula>
    </cfRule>
  </conditionalFormatting>
  <conditionalFormatting sqref="F18:G19">
    <cfRule type="expression" dxfId="15496" priority="49521">
      <formula>IF($B18="Larry",TRUE,FALSE)</formula>
    </cfRule>
    <cfRule type="expression" dxfId="15495" priority="49522">
      <formula>IF($B18="VOID",TRUE,FALSE)</formula>
    </cfRule>
  </conditionalFormatting>
  <conditionalFormatting sqref="F19:G19">
    <cfRule type="expression" dxfId="15494" priority="49517">
      <formula>IF($B19="Larry",TRUE,FALSE)</formula>
    </cfRule>
    <cfRule type="expression" dxfId="15493" priority="49518">
      <formula>IF($B19="VOID",TRUE,FALSE)</formula>
    </cfRule>
  </conditionalFormatting>
  <conditionalFormatting sqref="F24:G24">
    <cfRule type="expression" dxfId="15492" priority="49117">
      <formula>IF($B24="Quoting",TRUE,FALSE)</formula>
    </cfRule>
  </conditionalFormatting>
  <conditionalFormatting sqref="F26:G26">
    <cfRule type="expression" dxfId="15491" priority="49026">
      <formula>IF($B26="Larry",TRUE,FALSE)</formula>
    </cfRule>
    <cfRule type="expression" dxfId="15490" priority="49027">
      <formula>IF($B26="VOID",TRUE,FALSE)</formula>
    </cfRule>
    <cfRule type="expression" dxfId="15489" priority="49028">
      <formula>IF($B26="Larry",TRUE,FALSE)</formula>
    </cfRule>
    <cfRule type="expression" dxfId="15488" priority="49029">
      <formula>IF($B26="VOID",TRUE,FALSE)</formula>
    </cfRule>
  </conditionalFormatting>
  <conditionalFormatting sqref="F27:G27">
    <cfRule type="expression" dxfId="15487" priority="44680">
      <formula>IF($B27="VOID",TRUE,FALSE)</formula>
    </cfRule>
    <cfRule type="expression" dxfId="15486" priority="44686">
      <formula>IF($B27="Larry",TRUE,FALSE)</formula>
    </cfRule>
    <cfRule type="expression" dxfId="15485" priority="44687">
      <formula>IF($B27="VOID",TRUE,FALSE)</formula>
    </cfRule>
    <cfRule type="expression" dxfId="15484" priority="44688">
      <formula>IF($B27="VOID",TRUE,FALSE)</formula>
    </cfRule>
    <cfRule type="expression" dxfId="15483" priority="44689">
      <formula>IF($B27="VOID",TRUE,FALSE)</formula>
    </cfRule>
    <cfRule type="expression" dxfId="15482" priority="44690">
      <formula>IF($B27="VOID",TRUE,FALSE)</formula>
    </cfRule>
    <cfRule type="expression" dxfId="15481" priority="44691">
      <formula>IF($B27="Larry",TRUE,FALSE)</formula>
    </cfRule>
  </conditionalFormatting>
  <conditionalFormatting sqref="F28:G28">
    <cfRule type="expression" dxfId="15480" priority="48790">
      <formula>IF($B28="Quoting",TRUE,FALSE)</formula>
    </cfRule>
    <cfRule type="expression" dxfId="15479" priority="48791">
      <formula>IF($B28="Quoting",TRUE,FALSE)</formula>
    </cfRule>
    <cfRule type="expression" dxfId="15478" priority="48792">
      <formula>IF($B28="Quoting",TRUE,FALSE)</formula>
    </cfRule>
    <cfRule type="expression" dxfId="15477" priority="48793">
      <formula>IF($B28="Quoting",TRUE,FALSE)</formula>
    </cfRule>
    <cfRule type="expression" dxfId="15476" priority="48794">
      <formula>IF($B28="Quoting",TRUE,FALSE)</formula>
    </cfRule>
    <cfRule type="expression" dxfId="15475" priority="48795">
      <formula>IF($B28="Quoting",TRUE,FALSE)</formula>
    </cfRule>
    <cfRule type="expression" dxfId="15474" priority="48796">
      <formula>IF($B28="Quoting",TRUE,FALSE)</formula>
    </cfRule>
    <cfRule type="expression" dxfId="15473" priority="48797">
      <formula>IF($B28="Quoting",TRUE,FALSE)</formula>
    </cfRule>
    <cfRule type="expression" dxfId="15472" priority="48798">
      <formula>IF($B28="Quoting",TRUE,FALSE)</formula>
    </cfRule>
    <cfRule type="expression" dxfId="15471" priority="48799">
      <formula>IF($B28="Quoting",TRUE,FALSE)</formula>
    </cfRule>
    <cfRule type="expression" dxfId="15470" priority="48800">
      <formula>IF($B28="Quoting",TRUE,FALSE)</formula>
    </cfRule>
    <cfRule type="expression" dxfId="15469" priority="48801">
      <formula>IF($B28="Quoting",TRUE,FALSE)</formula>
    </cfRule>
    <cfRule type="expression" dxfId="15468" priority="48802">
      <formula>IF($B28="Quoting",TRUE,FALSE)</formula>
    </cfRule>
    <cfRule type="expression" dxfId="15467" priority="48803">
      <formula>IF($B28="Quoting",TRUE,FALSE)</formula>
    </cfRule>
  </conditionalFormatting>
  <conditionalFormatting sqref="F29:G29">
    <cfRule type="expression" dxfId="15466" priority="26730">
      <formula>IF($B29="Larry",TRUE,FALSE)</formula>
    </cfRule>
  </conditionalFormatting>
  <conditionalFormatting sqref="F30:G30">
    <cfRule type="expression" dxfId="15465" priority="26371">
      <formula>IF($B30="Larry",TRUE,FALSE)</formula>
    </cfRule>
    <cfRule type="expression" dxfId="15464" priority="26372">
      <formula>IF($B30="VOID",TRUE,FALSE)</formula>
    </cfRule>
    <cfRule type="expression" dxfId="15463" priority="26373">
      <formula>IF($B30="Larry",TRUE,FALSE)</formula>
    </cfRule>
    <cfRule type="expression" dxfId="15462" priority="26374">
      <formula>IF($B30="VOID",TRUE,FALSE)</formula>
    </cfRule>
    <cfRule type="expression" dxfId="15461" priority="26375">
      <formula>IF($B30="VOID",TRUE,FALSE)</formula>
    </cfRule>
    <cfRule type="expression" dxfId="15460" priority="26376">
      <formula>IF($B30="Larry",TRUE,FALSE)</formula>
    </cfRule>
    <cfRule type="expression" dxfId="15459" priority="26377">
      <formula>IF($B30="Larry",TRUE,FALSE)</formula>
    </cfRule>
    <cfRule type="expression" dxfId="15458" priority="26378">
      <formula>IF($B30="VOID",TRUE,FALSE)</formula>
    </cfRule>
    <cfRule type="expression" dxfId="15457" priority="26379">
      <formula>IF($B30="Larry",TRUE,FALSE)</formula>
    </cfRule>
    <cfRule type="expression" dxfId="15456" priority="26380">
      <formula>IF($B30="VOID",TRUE,FALSE)</formula>
    </cfRule>
    <cfRule type="expression" dxfId="15455" priority="26381">
      <formula>IF($B30="Quoting",TRUE,FALSE)</formula>
    </cfRule>
    <cfRule type="expression" dxfId="15454" priority="26382">
      <formula>IF($B30="Quoting",TRUE,FALSE)</formula>
    </cfRule>
    <cfRule type="expression" dxfId="15453" priority="26383">
      <formula>IF($B30="Quoting",TRUE,FALSE)</formula>
    </cfRule>
    <cfRule type="expression" dxfId="15452" priority="26384">
      <formula>IF($B30="Quoting",TRUE,FALSE)</formula>
    </cfRule>
    <cfRule type="expression" dxfId="15451" priority="26385">
      <formula>IF($B30="Quoting",TRUE,FALSE)</formula>
    </cfRule>
    <cfRule type="expression" dxfId="15450" priority="26386">
      <formula>IF($B30="Quoting",TRUE,FALSE)</formula>
    </cfRule>
    <cfRule type="expression" dxfId="15449" priority="26387">
      <formula>IF($B30="Quoting",TRUE,FALSE)</formula>
    </cfRule>
    <cfRule type="expression" dxfId="15448" priority="26388">
      <formula>IF($B30="Quoting",TRUE,FALSE)</formula>
    </cfRule>
    <cfRule type="expression" dxfId="15447" priority="26389">
      <formula>IF($B30="Quoting",TRUE,FALSE)</formula>
    </cfRule>
    <cfRule type="expression" dxfId="15446" priority="26390">
      <formula>IF($B30="Quoting",TRUE,FALSE)</formula>
    </cfRule>
    <cfRule type="expression" dxfId="15445" priority="26391">
      <formula>IF($B30="Quoting",TRUE,FALSE)</formula>
    </cfRule>
    <cfRule type="expression" dxfId="15444" priority="26392">
      <formula>IF($B30="Quoting",TRUE,FALSE)</formula>
    </cfRule>
    <cfRule type="expression" dxfId="15443" priority="26393">
      <formula>IF($B30="Quoting",TRUE,FALSE)</formula>
    </cfRule>
    <cfRule type="expression" dxfId="15442" priority="26394">
      <formula>IF($B30="Quoting",TRUE,FALSE)</formula>
    </cfRule>
    <cfRule type="expression" dxfId="15441" priority="26395">
      <formula>IF($B30="Quoting",TRUE,FALSE)</formula>
    </cfRule>
    <cfRule type="expression" dxfId="15440" priority="26396">
      <formula>IF($B30="Quoting",TRUE,FALSE)</formula>
    </cfRule>
    <cfRule type="expression" dxfId="15439" priority="26397">
      <formula>IF($B30="VOID",TRUE,FALSE)</formula>
    </cfRule>
    <cfRule type="expression" dxfId="15438" priority="26398">
      <formula>IF($B30="Quoting",TRUE,FALSE)</formula>
    </cfRule>
    <cfRule type="expression" dxfId="15437" priority="26399">
      <formula>IF($B30="Quoting",TRUE,FALSE)</formula>
    </cfRule>
    <cfRule type="expression" dxfId="15436" priority="26400">
      <formula>IF($B30="Quoting",TRUE,FALSE)</formula>
    </cfRule>
    <cfRule type="expression" dxfId="15435" priority="26401">
      <formula>IF($B30="Quoting",TRUE,FALSE)</formula>
    </cfRule>
    <cfRule type="expression" dxfId="15434" priority="26402">
      <formula>IF($B30="Quoting",TRUE,FALSE)</formula>
    </cfRule>
    <cfRule type="expression" dxfId="15433" priority="26403">
      <formula>IF($B30="Quoting",TRUE,FALSE)</formula>
    </cfRule>
    <cfRule type="expression" dxfId="15432" priority="26404">
      <formula>IF($B30="Quoting",TRUE,FALSE)</formula>
    </cfRule>
    <cfRule type="expression" dxfId="15431" priority="26405">
      <formula>IF($B30="Quoting",TRUE,FALSE)</formula>
    </cfRule>
    <cfRule type="expression" dxfId="15430" priority="26406">
      <formula>IF($B30="Quoting",TRUE,FALSE)</formula>
    </cfRule>
    <cfRule type="expression" dxfId="15429" priority="26407">
      <formula>IF($B30="Quoting",TRUE,FALSE)</formula>
    </cfRule>
    <cfRule type="expression" dxfId="15428" priority="26408">
      <formula>IF($B30="Quoting",TRUE,FALSE)</formula>
    </cfRule>
    <cfRule type="expression" dxfId="15427" priority="26409">
      <formula>IF($B30="Quoting",TRUE,FALSE)</formula>
    </cfRule>
    <cfRule type="expression" dxfId="15426" priority="26410">
      <formula>IF($B30="VOID",TRUE,FALSE)</formula>
    </cfRule>
    <cfRule type="expression" dxfId="15425" priority="26411">
      <formula>IF($B30="VOID",TRUE,FALSE)</formula>
    </cfRule>
    <cfRule type="expression" dxfId="15424" priority="26412">
      <formula>IF($B30="VOID",TRUE,FALSE)</formula>
    </cfRule>
    <cfRule type="expression" dxfId="15423" priority="26413">
      <formula>IF($B30="Quoting",TRUE,FALSE)</formula>
    </cfRule>
    <cfRule type="expression" dxfId="15422" priority="26414">
      <formula>IF($B30="Quoting",TRUE,FALSE)</formula>
    </cfRule>
    <cfRule type="expression" dxfId="15421" priority="26415">
      <formula>IF($B30="Quoting",TRUE,FALSE)</formula>
    </cfRule>
    <cfRule type="expression" dxfId="15420" priority="26416">
      <formula>IF($B30="Quoting",TRUE,FALSE)</formula>
    </cfRule>
    <cfRule type="expression" dxfId="15419" priority="26417">
      <formula>IF($B30="Quoting",TRUE,FALSE)</formula>
    </cfRule>
    <cfRule type="expression" dxfId="15418" priority="26418">
      <formula>IF($B30="Quoting",TRUE,FALSE)</formula>
    </cfRule>
    <cfRule type="expression" dxfId="15417" priority="26419">
      <formula>IF($B30="Quoting",TRUE,FALSE)</formula>
    </cfRule>
    <cfRule type="expression" dxfId="15416" priority="26420">
      <formula>IF($B30="Quoting",TRUE,FALSE)</formula>
    </cfRule>
    <cfRule type="expression" dxfId="15415" priority="26421">
      <formula>IF($B30="Quoting",TRUE,FALSE)</formula>
    </cfRule>
    <cfRule type="expression" dxfId="15414" priority="26422">
      <formula>IF($B30="Quoting",TRUE,FALSE)</formula>
    </cfRule>
    <cfRule type="expression" dxfId="15413" priority="26423">
      <formula>IF($B30="Quoting",TRUE,FALSE)</formula>
    </cfRule>
    <cfRule type="expression" dxfId="15412" priority="26424">
      <formula>IF($B30="Quoting",TRUE,FALSE)</formula>
    </cfRule>
    <cfRule type="expression" dxfId="15411" priority="26425">
      <formula>IF($B30="VOID",TRUE,FALSE)</formula>
    </cfRule>
    <cfRule type="expression" dxfId="15410" priority="26426">
      <formula>IF($B30="VOID",TRUE,FALSE)</formula>
    </cfRule>
    <cfRule type="expression" dxfId="15409" priority="26427">
      <formula>IF($B30="VOID",TRUE,FALSE)</formula>
    </cfRule>
    <cfRule type="expression" dxfId="15408" priority="26428">
      <formula>IF($B30="VOID",TRUE,FALSE)</formula>
    </cfRule>
    <cfRule type="expression" dxfId="15407" priority="26429">
      <formula>IF($B30="VOID",TRUE,FALSE)</formula>
    </cfRule>
  </conditionalFormatting>
  <conditionalFormatting sqref="F35:G35">
    <cfRule type="expression" dxfId="15406" priority="23445">
      <formula>IF($B35="Quoting",TRUE,FALSE)</formula>
    </cfRule>
    <cfRule type="expression" dxfId="15405" priority="23446">
      <formula>IF($B35="Quoting",TRUE,FALSE)</formula>
    </cfRule>
    <cfRule type="expression" dxfId="15404" priority="23447">
      <formula>IF($B35="Quoting",TRUE,FALSE)</formula>
    </cfRule>
    <cfRule type="expression" dxfId="15403" priority="23448">
      <formula>IF($B35="Quoting",TRUE,FALSE)</formula>
    </cfRule>
    <cfRule type="expression" dxfId="15402" priority="23449">
      <formula>IF($B35="Quoting",TRUE,FALSE)</formula>
    </cfRule>
    <cfRule type="expression" dxfId="15401" priority="23450">
      <formula>IF($B35="Quoting",TRUE,FALSE)</formula>
    </cfRule>
    <cfRule type="expression" dxfId="15400" priority="23451">
      <formula>IF($B35="Quoting",TRUE,FALSE)</formula>
    </cfRule>
    <cfRule type="expression" dxfId="15399" priority="23452">
      <formula>IF($B35="Quoting",TRUE,FALSE)</formula>
    </cfRule>
    <cfRule type="expression" dxfId="15398" priority="23453">
      <formula>IF($B35="Quoting",TRUE,FALSE)</formula>
    </cfRule>
    <cfRule type="expression" dxfId="15397" priority="23454">
      <formula>IF($B35="Quoting",TRUE,FALSE)</formula>
    </cfRule>
    <cfRule type="expression" dxfId="15396" priority="23455">
      <formula>IF($B35="Quoting",TRUE,FALSE)</formula>
    </cfRule>
    <cfRule type="expression" dxfId="15395" priority="23456">
      <formula>IF($B35="Quoting",TRUE,FALSE)</formula>
    </cfRule>
    <cfRule type="expression" dxfId="15394" priority="23457">
      <formula>IF($B35="Quoting",TRUE,FALSE)</formula>
    </cfRule>
    <cfRule type="expression" dxfId="15393" priority="23458">
      <formula>IF($B35="Quoting",TRUE,FALSE)</formula>
    </cfRule>
    <cfRule type="expression" dxfId="15392" priority="23459">
      <formula>IF($B35="Quoting",TRUE,FALSE)</formula>
    </cfRule>
    <cfRule type="expression" dxfId="15391" priority="23460">
      <formula>IF($B35="Quoting",TRUE,FALSE)</formula>
    </cfRule>
    <cfRule type="expression" dxfId="15390" priority="23461">
      <formula>IF($B35="Quoting",TRUE,FALSE)</formula>
    </cfRule>
  </conditionalFormatting>
  <conditionalFormatting sqref="F37:G37">
    <cfRule type="expression" dxfId="15389" priority="4113">
      <formula>IF($B37="Quoting",TRUE,FALSE)</formula>
    </cfRule>
    <cfRule type="expression" dxfId="15388" priority="4114">
      <formula>IF($B37="Quoting",TRUE,FALSE)</formula>
    </cfRule>
    <cfRule type="expression" dxfId="15387" priority="4115">
      <formula>IF($B37="Quoting",TRUE,FALSE)</formula>
    </cfRule>
    <cfRule type="expression" dxfId="15386" priority="4116">
      <formula>IF($B37="Quoting",TRUE,FALSE)</formula>
    </cfRule>
    <cfRule type="expression" dxfId="15385" priority="4117">
      <formula>IF($B37="Quoting",TRUE,FALSE)</formula>
    </cfRule>
    <cfRule type="expression" dxfId="15384" priority="4118">
      <formula>IF($B37="Quoting",TRUE,FALSE)</formula>
    </cfRule>
    <cfRule type="expression" dxfId="15383" priority="4119">
      <formula>IF($B37="Quoting",TRUE,FALSE)</formula>
    </cfRule>
    <cfRule type="expression" dxfId="15382" priority="4120">
      <formula>IF($B37="Quoting",TRUE,FALSE)</formula>
    </cfRule>
    <cfRule type="expression" dxfId="15381" priority="4121">
      <formula>IF($B37="Quoting",TRUE,FALSE)</formula>
    </cfRule>
    <cfRule type="expression" dxfId="15380" priority="4122">
      <formula>IF($B37="Quoting",TRUE,FALSE)</formula>
    </cfRule>
    <cfRule type="expression" dxfId="15379" priority="4123">
      <formula>IF($B37="Quoting",TRUE,FALSE)</formula>
    </cfRule>
    <cfRule type="expression" dxfId="15378" priority="4124">
      <formula>IF($B37="Quoting",TRUE,FALSE)</formula>
    </cfRule>
    <cfRule type="expression" dxfId="15377" priority="4125">
      <formula>IF($B37="Quoting",TRUE,FALSE)</formula>
    </cfRule>
    <cfRule type="expression" dxfId="15376" priority="4126">
      <formula>IF($B37="Quoting",TRUE,FALSE)</formula>
    </cfRule>
    <cfRule type="expression" dxfId="15375" priority="4127">
      <formula>IF($B37="Quoting",TRUE,FALSE)</formula>
    </cfRule>
    <cfRule type="expression" dxfId="15374" priority="4128">
      <formula>IF($B37="Quoting",TRUE,FALSE)</formula>
    </cfRule>
    <cfRule type="expression" dxfId="15373" priority="4129">
      <formula>IF($B37="Quoting",TRUE,FALSE)</formula>
    </cfRule>
  </conditionalFormatting>
  <conditionalFormatting sqref="F36:H36">
    <cfRule type="expression" dxfId="15372" priority="16156">
      <formula>IF($B36="Quoting",TRUE,FALSE)</formula>
    </cfRule>
    <cfRule type="expression" dxfId="15371" priority="16157">
      <formula>IF($B36="Quoting",TRUE,FALSE)</formula>
    </cfRule>
    <cfRule type="expression" dxfId="15370" priority="16158">
      <formula>IF($B36="Quoting",TRUE,FALSE)</formula>
    </cfRule>
    <cfRule type="expression" dxfId="15369" priority="16159">
      <formula>IF($B36="Quoting",TRUE,FALSE)</formula>
    </cfRule>
    <cfRule type="expression" dxfId="15368" priority="16160">
      <formula>IF($B36="Quoting",TRUE,FALSE)</formula>
    </cfRule>
    <cfRule type="expression" dxfId="15367" priority="16161">
      <formula>IF($B36="Quoting",TRUE,FALSE)</formula>
    </cfRule>
    <cfRule type="expression" dxfId="15366" priority="16162">
      <formula>IF($B36="Quoting",TRUE,FALSE)</formula>
    </cfRule>
    <cfRule type="expression" dxfId="15365" priority="16163">
      <formula>IF($B36="Quoting",TRUE,FALSE)</formula>
    </cfRule>
    <cfRule type="expression" dxfId="15364" priority="16164">
      <formula>IF($B36="Quoting",TRUE,FALSE)</formula>
    </cfRule>
    <cfRule type="expression" dxfId="15363" priority="16165">
      <formula>IF($B36="Quoting",TRUE,FALSE)</formula>
    </cfRule>
    <cfRule type="expression" dxfId="15362" priority="16166">
      <formula>IF($B36="Quoting",TRUE,FALSE)</formula>
    </cfRule>
    <cfRule type="expression" dxfId="15361" priority="16167">
      <formula>IF($B36="Quoting",TRUE,FALSE)</formula>
    </cfRule>
    <cfRule type="expression" dxfId="15360" priority="16168">
      <formula>IF($B36="Quoting",TRUE,FALSE)</formula>
    </cfRule>
    <cfRule type="expression" dxfId="15359" priority="16169">
      <formula>IF($B36="Quoting",TRUE,FALSE)</formula>
    </cfRule>
    <cfRule type="expression" dxfId="15358" priority="16170">
      <formula>IF($B36="Quoting",TRUE,FALSE)</formula>
    </cfRule>
    <cfRule type="expression" dxfId="15357" priority="16171">
      <formula>IF($B36="Quoting",TRUE,FALSE)</formula>
    </cfRule>
    <cfRule type="expression" dxfId="15356" priority="16172">
      <formula>IF($B36="Quoting",TRUE,FALSE)</formula>
    </cfRule>
  </conditionalFormatting>
  <conditionalFormatting sqref="F37:H37">
    <cfRule type="expression" dxfId="15355" priority="4096">
      <formula>IF($B37="Quoting",TRUE,FALSE)</formula>
    </cfRule>
    <cfRule type="expression" dxfId="15354" priority="4097">
      <formula>IF($B37="Quoting",TRUE,FALSE)</formula>
    </cfRule>
    <cfRule type="expression" dxfId="15353" priority="4098">
      <formula>IF($B37="Quoting",TRUE,FALSE)</formula>
    </cfRule>
    <cfRule type="expression" dxfId="15352" priority="4099">
      <formula>IF($B37="Quoting",TRUE,FALSE)</formula>
    </cfRule>
    <cfRule type="expression" dxfId="15351" priority="4100">
      <formula>IF($B37="Quoting",TRUE,FALSE)</formula>
    </cfRule>
    <cfRule type="expression" dxfId="15350" priority="4101">
      <formula>IF($B37="Quoting",TRUE,FALSE)</formula>
    </cfRule>
    <cfRule type="expression" dxfId="15349" priority="4102">
      <formula>IF($B37="Quoting",TRUE,FALSE)</formula>
    </cfRule>
    <cfRule type="expression" dxfId="15348" priority="4103">
      <formula>IF($B37="Quoting",TRUE,FALSE)</formula>
    </cfRule>
    <cfRule type="expression" dxfId="15347" priority="4104">
      <formula>IF($B37="Quoting",TRUE,FALSE)</formula>
    </cfRule>
    <cfRule type="expression" dxfId="15346" priority="4105">
      <formula>IF($B37="Quoting",TRUE,FALSE)</formula>
    </cfRule>
    <cfRule type="expression" dxfId="15345" priority="4106">
      <formula>IF($B37="Quoting",TRUE,FALSE)</formula>
    </cfRule>
    <cfRule type="expression" dxfId="15344" priority="4107">
      <formula>IF($B37="Quoting",TRUE,FALSE)</formula>
    </cfRule>
    <cfRule type="expression" dxfId="15343" priority="4108">
      <formula>IF($B37="Quoting",TRUE,FALSE)</formula>
    </cfRule>
    <cfRule type="expression" dxfId="15342" priority="4109">
      <formula>IF($B37="Quoting",TRUE,FALSE)</formula>
    </cfRule>
    <cfRule type="expression" dxfId="15341" priority="4110">
      <formula>IF($B37="Quoting",TRUE,FALSE)</formula>
    </cfRule>
    <cfRule type="expression" dxfId="15340" priority="4111">
      <formula>IF($B37="Quoting",TRUE,FALSE)</formula>
    </cfRule>
    <cfRule type="expression" dxfId="15339" priority="4112">
      <formula>IF($B37="Quoting",TRUE,FALSE)</formula>
    </cfRule>
  </conditionalFormatting>
  <conditionalFormatting sqref="G28">
    <cfRule type="expression" dxfId="15338" priority="132995">
      <formula>IF($B28="Quoting",TRUE,FALSE)</formula>
    </cfRule>
    <cfRule type="expression" dxfId="15337" priority="132996">
      <formula>IF($B28="Quoting",TRUE,FALSE)</formula>
    </cfRule>
    <cfRule type="expression" dxfId="15336" priority="132997">
      <formula>IF($B28="Quoting",TRUE,FALSE)</formula>
    </cfRule>
    <cfRule type="expression" dxfId="15335" priority="132998">
      <formula>IF($B28="Quoting",TRUE,FALSE)</formula>
    </cfRule>
    <cfRule type="expression" dxfId="15334" priority="132999">
      <formula>IF($B28="Quoting",TRUE,FALSE)</formula>
    </cfRule>
    <cfRule type="expression" dxfId="15333" priority="133000">
      <formula>IF($B28="Quoting",TRUE,FALSE)</formula>
    </cfRule>
    <cfRule type="expression" dxfId="15332" priority="133001">
      <formula>IF($B28="Quoting",TRUE,FALSE)</formula>
    </cfRule>
    <cfRule type="expression" dxfId="15331" priority="133002">
      <formula>IF($B28="Quoting",TRUE,FALSE)</formula>
    </cfRule>
    <cfRule type="expression" dxfId="15330" priority="133003">
      <formula>IF($B28="Quoting",TRUE,FALSE)</formula>
    </cfRule>
    <cfRule type="expression" dxfId="15329" priority="133004">
      <formula>IF($B28="Quoting",TRUE,FALSE)</formula>
    </cfRule>
    <cfRule type="expression" dxfId="15328" priority="133005">
      <formula>IF($B28="Quoting",TRUE,FALSE)</formula>
    </cfRule>
    <cfRule type="expression" dxfId="15327" priority="133006">
      <formula>IF($B28="Quoting",TRUE,FALSE)</formula>
    </cfRule>
    <cfRule type="expression" dxfId="15326" priority="133007">
      <formula>IF($B28="Quoting",TRUE,FALSE)</formula>
    </cfRule>
    <cfRule type="expression" dxfId="15325" priority="133008">
      <formula>IF($B28="Quoting",TRUE,FALSE)</formula>
    </cfRule>
    <cfRule type="expression" dxfId="15324" priority="133009">
      <formula>IF($B28="Quoting",TRUE,FALSE)</formula>
    </cfRule>
    <cfRule type="expression" dxfId="15323" priority="133010">
      <formula>IF($B28="Quoting",TRUE,FALSE)</formula>
    </cfRule>
    <cfRule type="expression" dxfId="15322" priority="133011">
      <formula>IF($B28="Quoting",TRUE,FALSE)</formula>
    </cfRule>
    <cfRule type="expression" dxfId="15321" priority="133012">
      <formula>IF($B28="Quoting",TRUE,FALSE)</formula>
    </cfRule>
    <cfRule type="expression" dxfId="15320" priority="133013">
      <formula>IF($B28="Quoting",TRUE,FALSE)</formula>
    </cfRule>
    <cfRule type="expression" dxfId="15319" priority="133014">
      <formula>IF($B28="VOID",TRUE,FALSE)</formula>
    </cfRule>
    <cfRule type="expression" dxfId="15318" priority="133015">
      <formula>IF($B28="Quoting",TRUE,FALSE)</formula>
    </cfRule>
    <cfRule type="expression" dxfId="15317" priority="133016">
      <formula>IF($B28="Quoting",TRUE,FALSE)</formula>
    </cfRule>
    <cfRule type="expression" dxfId="15316" priority="133017">
      <formula>IF($B28="Quoting",TRUE,FALSE)</formula>
    </cfRule>
    <cfRule type="expression" dxfId="15315" priority="133018">
      <formula>IF($B28="Quoting",TRUE,FALSE)</formula>
    </cfRule>
    <cfRule type="expression" dxfId="15314" priority="133019">
      <formula>IF($B28="Quoting",TRUE,FALSE)</formula>
    </cfRule>
    <cfRule type="expression" dxfId="15313" priority="133020">
      <formula>IF($B28="Quoting",TRUE,FALSE)</formula>
    </cfRule>
    <cfRule type="expression" dxfId="15312" priority="133021">
      <formula>IF($B28="Quoting",TRUE,FALSE)</formula>
    </cfRule>
    <cfRule type="expression" dxfId="15311" priority="133022">
      <formula>IF($B28="Quoting",TRUE,FALSE)</formula>
    </cfRule>
    <cfRule type="expression" dxfId="15310" priority="133023">
      <formula>IF($B28="Quoting",TRUE,FALSE)</formula>
    </cfRule>
    <cfRule type="expression" dxfId="15309" priority="133024">
      <formula>IF($B28="Quoting",TRUE,FALSE)</formula>
    </cfRule>
    <cfRule type="expression" dxfId="15308" priority="133025">
      <formula>IF($B28="Quoting",TRUE,FALSE)</formula>
    </cfRule>
    <cfRule type="expression" dxfId="15307" priority="133026">
      <formula>IF($B28="Quoting",TRUE,FALSE)</formula>
    </cfRule>
    <cfRule type="expression" dxfId="15306" priority="133027">
      <formula>IF($B28="Quoting",TRUE,FALSE)</formula>
    </cfRule>
    <cfRule type="expression" dxfId="15305" priority="133028">
      <formula>IF($B28="Quoting",TRUE,FALSE)</formula>
    </cfRule>
    <cfRule type="expression" dxfId="15304" priority="133029">
      <formula>IF($B28="Quoting",TRUE,FALSE)</formula>
    </cfRule>
    <cfRule type="expression" dxfId="15303" priority="133030">
      <formula>IF($B28="Quoting",TRUE,FALSE)</formula>
    </cfRule>
    <cfRule type="expression" dxfId="15302" priority="133031">
      <formula>IF($B28="Quoting",TRUE,FALSE)</formula>
    </cfRule>
    <cfRule type="expression" dxfId="15301" priority="133032">
      <formula>IF($B28="Quoting",TRUE,FALSE)</formula>
    </cfRule>
    <cfRule type="expression" dxfId="15300" priority="133033">
      <formula>IF($B28="Quoting",TRUE,FALSE)</formula>
    </cfRule>
    <cfRule type="expression" dxfId="15299" priority="133034">
      <formula>IF($B28="Quoting",TRUE,FALSE)</formula>
    </cfRule>
    <cfRule type="expression" dxfId="15298" priority="133035">
      <formula>IF($B28="Quoting",TRUE,FALSE)</formula>
    </cfRule>
    <cfRule type="expression" dxfId="15297" priority="133036">
      <formula>IF($B28="Quoting",TRUE,FALSE)</formula>
    </cfRule>
    <cfRule type="expression" dxfId="15296" priority="133037">
      <formula>IF($B28="Quoting",TRUE,FALSE)</formula>
    </cfRule>
    <cfRule type="expression" dxfId="15295" priority="133038">
      <formula>IF($B28="Quoting",TRUE,FALSE)</formula>
    </cfRule>
    <cfRule type="expression" dxfId="15294" priority="133039">
      <formula>IF($B28="Quoting",TRUE,FALSE)</formula>
    </cfRule>
    <cfRule type="expression" dxfId="15293" priority="133040">
      <formula>IF($B28="Quoting",TRUE,FALSE)</formula>
    </cfRule>
    <cfRule type="expression" dxfId="15292" priority="133041">
      <formula>IF($B28="Quoting",TRUE,FALSE)</formula>
    </cfRule>
    <cfRule type="expression" dxfId="15291" priority="133042">
      <formula>IF($B28="Quoting",TRUE,FALSE)</formula>
    </cfRule>
    <cfRule type="expression" dxfId="15290" priority="133043">
      <formula>IF($B28="Quoting",TRUE,FALSE)</formula>
    </cfRule>
    <cfRule type="expression" dxfId="15289" priority="133044">
      <formula>IF($B28="Quoting",TRUE,FALSE)</formula>
    </cfRule>
    <cfRule type="expression" dxfId="15288" priority="133045">
      <formula>IF($B28="Quoting",TRUE,FALSE)</formula>
    </cfRule>
    <cfRule type="expression" dxfId="15287" priority="133046">
      <formula>IF($B28="Quoting",TRUE,FALSE)</formula>
    </cfRule>
    <cfRule type="expression" dxfId="15286" priority="133047">
      <formula>IF($B28="Quoting",TRUE,FALSE)</formula>
    </cfRule>
    <cfRule type="expression" dxfId="15285" priority="133048">
      <formula>IF($B28="Quoting",TRUE,FALSE)</formula>
    </cfRule>
    <cfRule type="expression" dxfId="15284" priority="133049">
      <formula>IF($B28="Quoting",TRUE,FALSE)</formula>
    </cfRule>
    <cfRule type="expression" dxfId="15283" priority="133050">
      <formula>IF($B28="Quoting",TRUE,FALSE)</formula>
    </cfRule>
    <cfRule type="expression" dxfId="15282" priority="133051">
      <formula>IF($B28="Quoting",TRUE,FALSE)</formula>
    </cfRule>
    <cfRule type="expression" dxfId="15281" priority="133052">
      <formula>IF($B28="Quoting",TRUE,FALSE)</formula>
    </cfRule>
    <cfRule type="expression" dxfId="15280" priority="133053">
      <formula>IF($B28="Quoting",TRUE,FALSE)</formula>
    </cfRule>
    <cfRule type="expression" dxfId="15279" priority="133054">
      <formula>IF($B28="Quoting",TRUE,FALSE)</formula>
    </cfRule>
    <cfRule type="expression" dxfId="15278" priority="133055">
      <formula>IF($B28="Quoting",TRUE,FALSE)</formula>
    </cfRule>
    <cfRule type="expression" dxfId="15277" priority="133056">
      <formula>IF($B28="Quoting",TRUE,FALSE)</formula>
    </cfRule>
    <cfRule type="expression" dxfId="15276" priority="133057">
      <formula>IF($B28="Quoting",TRUE,FALSE)</formula>
    </cfRule>
    <cfRule type="expression" dxfId="15275" priority="133058">
      <formula>IF($B28="Quoting",TRUE,FALSE)</formula>
    </cfRule>
    <cfRule type="expression" dxfId="15274" priority="133059">
      <formula>IF($B28="Quoting",TRUE,FALSE)</formula>
    </cfRule>
    <cfRule type="expression" dxfId="15273" priority="133060">
      <formula>IF($B28="Quoting",TRUE,FALSE)</formula>
    </cfRule>
    <cfRule type="expression" dxfId="15272" priority="133061">
      <formula>IF($B28="Quoting",TRUE,FALSE)</formula>
    </cfRule>
    <cfRule type="expression" dxfId="15271" priority="133062">
      <formula>IF($B28="Quoting",TRUE,FALSE)</formula>
    </cfRule>
    <cfRule type="expression" dxfId="15270" priority="133063">
      <formula>IF($B28="Quoting",TRUE,FALSE)</formula>
    </cfRule>
    <cfRule type="expression" dxfId="15269" priority="133064">
      <formula>IF($B28="Quoting",TRUE,FALSE)</formula>
    </cfRule>
    <cfRule type="expression" dxfId="15268" priority="133065">
      <formula>IF($B28="Quoting",TRUE,FALSE)</formula>
    </cfRule>
    <cfRule type="expression" dxfId="15267" priority="133066">
      <formula>IF($B28="Quoting",TRUE,FALSE)</formula>
    </cfRule>
    <cfRule type="expression" dxfId="15266" priority="133067">
      <formula>IF($B28="Quoting",TRUE,FALSE)</formula>
    </cfRule>
    <cfRule type="expression" dxfId="15265" priority="133068">
      <formula>IF($B28="Quoting",TRUE,FALSE)</formula>
    </cfRule>
    <cfRule type="expression" dxfId="15264" priority="133069">
      <formula>IF($B28="Quoting",TRUE,FALSE)</formula>
    </cfRule>
    <cfRule type="expression" dxfId="15263" priority="133070">
      <formula>IF($B28="Quoting",TRUE,FALSE)</formula>
    </cfRule>
    <cfRule type="expression" dxfId="15262" priority="133071">
      <formula>IF($B28="Quoting",TRUE,FALSE)</formula>
    </cfRule>
    <cfRule type="expression" dxfId="15261" priority="133072">
      <formula>IF($B28="Quoting",TRUE,FALSE)</formula>
    </cfRule>
    <cfRule type="expression" dxfId="15260" priority="133073">
      <formula>IF($B28="Quoting",TRUE,FALSE)</formula>
    </cfRule>
    <cfRule type="expression" dxfId="15259" priority="133074">
      <formula>IF($B28="Quoting",TRUE,FALSE)</formula>
    </cfRule>
    <cfRule type="expression" dxfId="15258" priority="133075">
      <formula>IF($B28="Quoting",TRUE,FALSE)</formula>
    </cfRule>
    <cfRule type="expression" dxfId="15257" priority="133076">
      <formula>IF($B28="Quoting",TRUE,FALSE)</formula>
    </cfRule>
    <cfRule type="expression" dxfId="15256" priority="133077">
      <formula>IF($B28="Quoting",TRUE,FALSE)</formula>
    </cfRule>
    <cfRule type="expression" dxfId="15255" priority="133078">
      <formula>IF($B28="Quoting",TRUE,FALSE)</formula>
    </cfRule>
    <cfRule type="expression" dxfId="15254" priority="133079">
      <formula>IF($B28="Quoting",TRUE,FALSE)</formula>
    </cfRule>
    <cfRule type="expression" dxfId="15253" priority="133080">
      <formula>IF($B28="Quoting",TRUE,FALSE)</formula>
    </cfRule>
    <cfRule type="expression" dxfId="15252" priority="133081">
      <formula>IF($B28="Quoting",TRUE,FALSE)</formula>
    </cfRule>
    <cfRule type="expression" dxfId="15251" priority="133082">
      <formula>IF($B28="Quoting",TRUE,FALSE)</formula>
    </cfRule>
    <cfRule type="expression" dxfId="15250" priority="133083">
      <formula>IF($B28="Quoting",TRUE,FALSE)</formula>
    </cfRule>
    <cfRule type="expression" dxfId="15249" priority="133084">
      <formula>IF($B28="Quoting",TRUE,FALSE)</formula>
    </cfRule>
    <cfRule type="expression" dxfId="15248" priority="133085">
      <formula>IF($B28="Quoting",TRUE,FALSE)</formula>
    </cfRule>
    <cfRule type="expression" dxfId="15247" priority="133086">
      <formula>IF($B28="Quoting",TRUE,FALSE)</formula>
    </cfRule>
    <cfRule type="expression" dxfId="15246" priority="133087">
      <formula>IF($B28="Quoting",TRUE,FALSE)</formula>
    </cfRule>
    <cfRule type="expression" dxfId="15245" priority="133088">
      <formula>IF($B28="Quoting",TRUE,FALSE)</formula>
    </cfRule>
    <cfRule type="expression" dxfId="15244" priority="133089">
      <formula>IF($B28="Quoting",TRUE,FALSE)</formula>
    </cfRule>
    <cfRule type="expression" dxfId="15243" priority="133090">
      <formula>IF($B28="Quoting",TRUE,FALSE)</formula>
    </cfRule>
    <cfRule type="expression" dxfId="15242" priority="133091">
      <formula>IF($B28="Quoting",TRUE,FALSE)</formula>
    </cfRule>
    <cfRule type="expression" dxfId="15241" priority="133092">
      <formula>IF($B28="Quoting",TRUE,FALSE)</formula>
    </cfRule>
    <cfRule type="expression" dxfId="15240" priority="133093">
      <formula>IF($B28="Quoting",TRUE,FALSE)</formula>
    </cfRule>
    <cfRule type="expression" dxfId="15239" priority="133094">
      <formula>IF($B28="Quoting",TRUE,FALSE)</formula>
    </cfRule>
    <cfRule type="expression" dxfId="15238" priority="133095">
      <formula>IF($B28="Quoting",TRUE,FALSE)</formula>
    </cfRule>
    <cfRule type="expression" dxfId="15237" priority="133096">
      <formula>IF($B28="Quoting",TRUE,FALSE)</formula>
    </cfRule>
    <cfRule type="expression" dxfId="15236" priority="133097">
      <formula>IF($B28="Quoting",TRUE,FALSE)</formula>
    </cfRule>
    <cfRule type="expression" dxfId="15235" priority="133098">
      <formula>IF($B28="Quoting",TRUE,FALSE)</formula>
    </cfRule>
    <cfRule type="expression" dxfId="15234" priority="133099">
      <formula>IF($B28="Quoting",TRUE,FALSE)</formula>
    </cfRule>
    <cfRule type="expression" dxfId="15233" priority="133100">
      <formula>IF($B28="Quoting",TRUE,FALSE)</formula>
    </cfRule>
    <cfRule type="expression" dxfId="15232" priority="133101">
      <formula>IF($B28="Quoting",TRUE,FALSE)</formula>
    </cfRule>
    <cfRule type="expression" dxfId="15231" priority="133102">
      <formula>IF($B28="Quoting",TRUE,FALSE)</formula>
    </cfRule>
    <cfRule type="expression" dxfId="15230" priority="133103">
      <formula>IF($B28="Quoting",TRUE,FALSE)</formula>
    </cfRule>
    <cfRule type="expression" dxfId="15229" priority="133104">
      <formula>IF($B28="Quoting",TRUE,FALSE)</formula>
    </cfRule>
    <cfRule type="expression" dxfId="15228" priority="133105">
      <formula>IF($B28="Quoting",TRUE,FALSE)</formula>
    </cfRule>
    <cfRule type="expression" dxfId="15227" priority="133106">
      <formula>IF($B28="Quoting",TRUE,FALSE)</formula>
    </cfRule>
    <cfRule type="expression" dxfId="15226" priority="133107">
      <formula>IF($B28="Quoting",TRUE,FALSE)</formula>
    </cfRule>
    <cfRule type="expression" dxfId="15225" priority="133108">
      <formula>IF($B28="Quoting",TRUE,FALSE)</formula>
    </cfRule>
    <cfRule type="expression" dxfId="15224" priority="133109">
      <formula>IF($B28="Quoting",TRUE,FALSE)</formula>
    </cfRule>
    <cfRule type="expression" dxfId="15223" priority="133110">
      <formula>IF($B28="Quoting",TRUE,FALSE)</formula>
    </cfRule>
    <cfRule type="expression" dxfId="15222" priority="133111">
      <formula>IF($B28="Quoting",TRUE,FALSE)</formula>
    </cfRule>
    <cfRule type="expression" dxfId="15221" priority="133112">
      <formula>IF($B28="Quoting",TRUE,FALSE)</formula>
    </cfRule>
    <cfRule type="expression" dxfId="15220" priority="133113">
      <formula>IF($B28="Quoting",TRUE,FALSE)</formula>
    </cfRule>
    <cfRule type="expression" dxfId="15219" priority="133114">
      <formula>IF($B28="Quoting",TRUE,FALSE)</formula>
    </cfRule>
    <cfRule type="expression" dxfId="15218" priority="133115">
      <formula>IF($B28="Quoting",TRUE,FALSE)</formula>
    </cfRule>
    <cfRule type="expression" dxfId="15217" priority="133116">
      <formula>IF($B28="Quoting",TRUE,FALSE)</formula>
    </cfRule>
    <cfRule type="expression" dxfId="15216" priority="133117">
      <formula>IF($B28="Quoting",TRUE,FALSE)</formula>
    </cfRule>
    <cfRule type="expression" dxfId="15215" priority="133118">
      <formula>IF($B28="Quoting",TRUE,FALSE)</formula>
    </cfRule>
    <cfRule type="expression" dxfId="15214" priority="133119">
      <formula>IF($B28="Quoting",TRUE,FALSE)</formula>
    </cfRule>
    <cfRule type="expression" dxfId="15213" priority="133120">
      <formula>IF($B28="Quoting",TRUE,FALSE)</formula>
    </cfRule>
    <cfRule type="expression" dxfId="15212" priority="133121">
      <formula>IF($B28="Quoting",TRUE,FALSE)</formula>
    </cfRule>
    <cfRule type="expression" dxfId="15211" priority="133122">
      <formula>IF($B28="Quoting",TRUE,FALSE)</formula>
    </cfRule>
    <cfRule type="expression" dxfId="15210" priority="133123">
      <formula>IF($B28="Quoting",TRUE,FALSE)</formula>
    </cfRule>
    <cfRule type="expression" dxfId="15209" priority="133124">
      <formula>IF($B28="Quoting",TRUE,FALSE)</formula>
    </cfRule>
    <cfRule type="expression" dxfId="15208" priority="133125">
      <formula>IF($B28="Quoting",TRUE,FALSE)</formula>
    </cfRule>
    <cfRule type="expression" dxfId="15207" priority="133126">
      <formula>IF($B28="Quoting",TRUE,FALSE)</formula>
    </cfRule>
    <cfRule type="expression" dxfId="15206" priority="133127">
      <formula>IF($B28="Quoting",TRUE,FALSE)</formula>
    </cfRule>
    <cfRule type="expression" dxfId="15205" priority="133128">
      <formula>IF($B28="Quoting",TRUE,FALSE)</formula>
    </cfRule>
    <cfRule type="expression" dxfId="15204" priority="133129">
      <formula>IF($B28="Quoting",TRUE,FALSE)</formula>
    </cfRule>
    <cfRule type="expression" dxfId="15203" priority="133130">
      <formula>IF($B28="Quoting",TRUE,FALSE)</formula>
    </cfRule>
    <cfRule type="expression" dxfId="15202" priority="133131">
      <formula>IF($B28="Quoting",TRUE,FALSE)</formula>
    </cfRule>
    <cfRule type="expression" dxfId="15201" priority="133132">
      <formula>IF($B28="Quoting",TRUE,FALSE)</formula>
    </cfRule>
    <cfRule type="expression" dxfId="15200" priority="133133">
      <formula>IF($B28="Quoting",TRUE,FALSE)</formula>
    </cfRule>
    <cfRule type="expression" dxfId="15199" priority="133134">
      <formula>IF($B28="Quoting",TRUE,FALSE)</formula>
    </cfRule>
    <cfRule type="expression" dxfId="15198" priority="133135">
      <formula>IF($B28="Quoting",TRUE,FALSE)</formula>
    </cfRule>
    <cfRule type="expression" dxfId="15197" priority="133136">
      <formula>IF($B28="Quoting",TRUE,FALSE)</formula>
    </cfRule>
    <cfRule type="expression" dxfId="15196" priority="133137">
      <formula>IF($B28="Quoting",TRUE,FALSE)</formula>
    </cfRule>
    <cfRule type="expression" dxfId="15195" priority="133138">
      <formula>IF($B28="Quoting",TRUE,FALSE)</formula>
    </cfRule>
    <cfRule type="expression" dxfId="15194" priority="133139">
      <formula>IF($B28="Quoting",TRUE,FALSE)</formula>
    </cfRule>
    <cfRule type="expression" dxfId="15193" priority="133140">
      <formula>IF($B28="Quoting",TRUE,FALSE)</formula>
    </cfRule>
    <cfRule type="expression" dxfId="15192" priority="133141">
      <formula>IF($B28="Quoting",TRUE,FALSE)</formula>
    </cfRule>
    <cfRule type="expression" dxfId="15191" priority="133142">
      <formula>IF($B28="Quoting",TRUE,FALSE)</formula>
    </cfRule>
    <cfRule type="expression" dxfId="15190" priority="133143">
      <formula>IF($B28="Quoting",TRUE,FALSE)</formula>
    </cfRule>
    <cfRule type="expression" dxfId="15189" priority="133144">
      <formula>IF($B28="Quoting",TRUE,FALSE)</formula>
    </cfRule>
    <cfRule type="expression" dxfId="15188" priority="133145">
      <formula>IF($B28="Quoting",TRUE,FALSE)</formula>
    </cfRule>
    <cfRule type="expression" dxfId="15187" priority="133146">
      <formula>IF($B28="Quoting",TRUE,FALSE)</formula>
    </cfRule>
    <cfRule type="expression" dxfId="15186" priority="133147">
      <formula>IF($B28="Quoting",TRUE,FALSE)</formula>
    </cfRule>
    <cfRule type="expression" dxfId="15185" priority="133148">
      <formula>IF($B28="Quoting",TRUE,FALSE)</formula>
    </cfRule>
    <cfRule type="expression" dxfId="15184" priority="133149">
      <formula>IF($B28="Quoting",TRUE,FALSE)</formula>
    </cfRule>
    <cfRule type="expression" dxfId="15183" priority="133150">
      <formula>IF($B28="Quoting",TRUE,FALSE)</formula>
    </cfRule>
    <cfRule type="expression" dxfId="15182" priority="133151">
      <formula>IF($B28="Quoting",TRUE,FALSE)</formula>
    </cfRule>
    <cfRule type="expression" dxfId="15181" priority="133152">
      <formula>IF($B28="Quoting",TRUE,FALSE)</formula>
    </cfRule>
    <cfRule type="expression" dxfId="15180" priority="133153">
      <formula>IF($B28="Quoting",TRUE,FALSE)</formula>
    </cfRule>
    <cfRule type="expression" dxfId="15179" priority="133154">
      <formula>IF($B28="Quoting",TRUE,FALSE)</formula>
    </cfRule>
    <cfRule type="expression" dxfId="15178" priority="133155">
      <formula>IF($B28="Quoting",TRUE,FALSE)</formula>
    </cfRule>
    <cfRule type="expression" dxfId="15177" priority="133156">
      <formula>IF($B28="Quoting",TRUE,FALSE)</formula>
    </cfRule>
    <cfRule type="expression" dxfId="15176" priority="133157">
      <formula>IF($B28="Quoting",TRUE,FALSE)</formula>
    </cfRule>
    <cfRule type="expression" dxfId="15175" priority="133158">
      <formula>IF($B28="Quoting",TRUE,FALSE)</formula>
    </cfRule>
    <cfRule type="expression" dxfId="15174" priority="133159">
      <formula>IF($B28="Quoting",TRUE,FALSE)</formula>
    </cfRule>
    <cfRule type="expression" dxfId="15173" priority="133160">
      <formula>IF($B28="Quoting",TRUE,FALSE)</formula>
    </cfRule>
    <cfRule type="expression" dxfId="15172" priority="133161">
      <formula>IF($B28="Quoting",TRUE,FALSE)</formula>
    </cfRule>
    <cfRule type="expression" dxfId="15171" priority="133162">
      <formula>IF($B28="Quoting",TRUE,FALSE)</formula>
    </cfRule>
    <cfRule type="expression" dxfId="15170" priority="133163">
      <formula>IF($B28="Quoting",TRUE,FALSE)</formula>
    </cfRule>
    <cfRule type="expression" dxfId="15169" priority="133164">
      <formula>IF($B28="Quoting",TRUE,FALSE)</formula>
    </cfRule>
    <cfRule type="expression" dxfId="15168" priority="133165">
      <formula>IF($B28="Quoting",TRUE,FALSE)</formula>
    </cfRule>
    <cfRule type="expression" dxfId="15167" priority="133166">
      <formula>IF($B28="Quoting",TRUE,FALSE)</formula>
    </cfRule>
    <cfRule type="expression" dxfId="15166" priority="133167">
      <formula>IF($B28="Quoting",TRUE,FALSE)</formula>
    </cfRule>
    <cfRule type="expression" dxfId="15165" priority="133168">
      <formula>IF($B28="Quoting",TRUE,FALSE)</formula>
    </cfRule>
    <cfRule type="expression" dxfId="15164" priority="133169">
      <formula>IF($B28="Quoting",TRUE,FALSE)</formula>
    </cfRule>
    <cfRule type="expression" dxfId="15163" priority="133170">
      <formula>IF($B28="Quoting",TRUE,FALSE)</formula>
    </cfRule>
    <cfRule type="expression" dxfId="15162" priority="133171">
      <formula>IF($B28="Quoting",TRUE,FALSE)</formula>
    </cfRule>
    <cfRule type="expression" dxfId="15161" priority="133172">
      <formula>IF($B28="Quoting",TRUE,FALSE)</formula>
    </cfRule>
    <cfRule type="expression" dxfId="15160" priority="133173">
      <formula>IF($B28="Quoting",TRUE,FALSE)</formula>
    </cfRule>
    <cfRule type="expression" dxfId="15159" priority="133174">
      <formula>IF($B28="Quoting",TRUE,FALSE)</formula>
    </cfRule>
    <cfRule type="expression" dxfId="15158" priority="133175">
      <formula>IF($B28="Quoting",TRUE,FALSE)</formula>
    </cfRule>
    <cfRule type="expression" dxfId="15157" priority="133176">
      <formula>IF($B28="Quoting",TRUE,FALSE)</formula>
    </cfRule>
    <cfRule type="expression" dxfId="15156" priority="133177">
      <formula>IF($B28="Quoting",TRUE,FALSE)</formula>
    </cfRule>
    <cfRule type="expression" dxfId="15155" priority="133178">
      <formula>IF($B28="Quoting",TRUE,FALSE)</formula>
    </cfRule>
    <cfRule type="expression" dxfId="15154" priority="133179">
      <formula>IF($B28="Quoting",TRUE,FALSE)</formula>
    </cfRule>
    <cfRule type="expression" dxfId="15153" priority="133180">
      <formula>IF($B28="Quoting",TRUE,FALSE)</formula>
    </cfRule>
    <cfRule type="expression" dxfId="15152" priority="133181">
      <formula>IF($B28="Quoting",TRUE,FALSE)</formula>
    </cfRule>
    <cfRule type="expression" dxfId="15151" priority="133182">
      <formula>IF($B28="Quoting",TRUE,FALSE)</formula>
    </cfRule>
    <cfRule type="expression" dxfId="15150" priority="133183">
      <formula>IF($B28="Quoting",TRUE,FALSE)</formula>
    </cfRule>
    <cfRule type="expression" dxfId="15149" priority="133184">
      <formula>IF($B28="Quoting",TRUE,FALSE)</formula>
    </cfRule>
    <cfRule type="expression" dxfId="15148" priority="133185">
      <formula>IF($B28="Quoting",TRUE,FALSE)</formula>
    </cfRule>
    <cfRule type="expression" dxfId="15147" priority="133186">
      <formula>IF($B28="Quoting",TRUE,FALSE)</formula>
    </cfRule>
    <cfRule type="expression" dxfId="15146" priority="133187">
      <formula>IF($B28="Quoting",TRUE,FALSE)</formula>
    </cfRule>
    <cfRule type="expression" dxfId="15145" priority="133188">
      <formula>IF($B28="Quoting",TRUE,FALSE)</formula>
    </cfRule>
    <cfRule type="expression" dxfId="15144" priority="133189">
      <formula>IF($B28="Quoting",TRUE,FALSE)</formula>
    </cfRule>
    <cfRule type="expression" dxfId="15143" priority="133190">
      <formula>IF($B28="Quoting",TRUE,FALSE)</formula>
    </cfRule>
    <cfRule type="expression" dxfId="15142" priority="133191">
      <formula>IF($B28="Quoting",TRUE,FALSE)</formula>
    </cfRule>
    <cfRule type="expression" dxfId="15141" priority="133192">
      <formula>IF($B28="Quoting",TRUE,FALSE)</formula>
    </cfRule>
    <cfRule type="expression" dxfId="15140" priority="133193">
      <formula>IF($B28="Quoting",TRUE,FALSE)</formula>
    </cfRule>
    <cfRule type="expression" dxfId="15139" priority="133194">
      <formula>IF($B28="Quoting",TRUE,FALSE)</formula>
    </cfRule>
    <cfRule type="expression" dxfId="15138" priority="133195">
      <formula>IF($B28="Quoting",TRUE,FALSE)</formula>
    </cfRule>
    <cfRule type="expression" dxfId="15137" priority="133196">
      <formula>IF($B28="Quoting",TRUE,FALSE)</formula>
    </cfRule>
    <cfRule type="expression" dxfId="15136" priority="133197">
      <formula>IF($B28="Quoting",TRUE,FALSE)</formula>
    </cfRule>
    <cfRule type="expression" dxfId="15135" priority="133198">
      <formula>IF($B28="Quoting",TRUE,FALSE)</formula>
    </cfRule>
    <cfRule type="expression" dxfId="15134" priority="133199">
      <formula>IF($B28="Quoting",TRUE,FALSE)</formula>
    </cfRule>
    <cfRule type="expression" dxfId="15133" priority="133200">
      <formula>IF($B28="Quoting",TRUE,FALSE)</formula>
    </cfRule>
    <cfRule type="expression" dxfId="15132" priority="133201">
      <formula>IF($B28="Quoting",TRUE,FALSE)</formula>
    </cfRule>
    <cfRule type="expression" dxfId="15131" priority="133202">
      <formula>IF($B28="Quoting",TRUE,FALSE)</formula>
    </cfRule>
    <cfRule type="expression" dxfId="15130" priority="133203">
      <formula>IF($B28="Quoting",TRUE,FALSE)</formula>
    </cfRule>
    <cfRule type="expression" dxfId="15129" priority="133204">
      <formula>IF($B28="Quoting",TRUE,FALSE)</formula>
    </cfRule>
    <cfRule type="expression" dxfId="15128" priority="133205">
      <formula>IF($B28="Quoting",TRUE,FALSE)</formula>
    </cfRule>
    <cfRule type="expression" dxfId="15127" priority="133206">
      <formula>IF($B28="Quoting",TRUE,FALSE)</formula>
    </cfRule>
    <cfRule type="expression" dxfId="15126" priority="133207">
      <formula>IF($B28="Quoting",TRUE,FALSE)</formula>
    </cfRule>
    <cfRule type="expression" dxfId="15125" priority="133208">
      <formula>IF($B28="Quoting",TRUE,FALSE)</formula>
    </cfRule>
    <cfRule type="expression" dxfId="15124" priority="133209">
      <formula>IF($B28="Quoting",TRUE,FALSE)</formula>
    </cfRule>
    <cfRule type="expression" dxfId="15123" priority="133210">
      <formula>IF($B28="Quoting",TRUE,FALSE)</formula>
    </cfRule>
    <cfRule type="expression" dxfId="15122" priority="133211">
      <formula>IF($B28="Quoting",TRUE,FALSE)</formula>
    </cfRule>
    <cfRule type="expression" dxfId="15121" priority="133212">
      <formula>IF($B28="Quoting",TRUE,FALSE)</formula>
    </cfRule>
    <cfRule type="expression" dxfId="15120" priority="133213">
      <formula>IF($B28="Quoting",TRUE,FALSE)</formula>
    </cfRule>
    <cfRule type="expression" dxfId="15119" priority="133214">
      <formula>IF($B28="Quoting",TRUE,FALSE)</formula>
    </cfRule>
    <cfRule type="expression" dxfId="15118" priority="133215">
      <formula>IF($B28="Quoting",TRUE,FALSE)</formula>
    </cfRule>
    <cfRule type="expression" dxfId="15117" priority="133216">
      <formula>IF($B28="Quoting",TRUE,FALSE)</formula>
    </cfRule>
    <cfRule type="expression" dxfId="15116" priority="133217">
      <formula>IF($B28="Quoting",TRUE,FALSE)</formula>
    </cfRule>
    <cfRule type="expression" dxfId="15115" priority="133218">
      <formula>IF($B28="Quoting",TRUE,FALSE)</formula>
    </cfRule>
    <cfRule type="expression" dxfId="15114" priority="133219">
      <formula>IF($B28="Quoting",TRUE,FALSE)</formula>
    </cfRule>
    <cfRule type="expression" dxfId="15113" priority="133220">
      <formula>IF($B28="Quoting",TRUE,FALSE)</formula>
    </cfRule>
    <cfRule type="expression" dxfId="15112" priority="133221">
      <formula>IF($B28="Quoting",TRUE,FALSE)</formula>
    </cfRule>
    <cfRule type="expression" dxfId="15111" priority="133222">
      <formula>IF($B28="Quoting",TRUE,FALSE)</formula>
    </cfRule>
    <cfRule type="expression" dxfId="15110" priority="133223">
      <formula>IF($B28="Quoting",TRUE,FALSE)</formula>
    </cfRule>
    <cfRule type="expression" dxfId="15109" priority="133224">
      <formula>IF($B28="Quoting",TRUE,FALSE)</formula>
    </cfRule>
    <cfRule type="expression" dxfId="15108" priority="133225">
      <formula>IF($B28="Quoting",TRUE,FALSE)</formula>
    </cfRule>
    <cfRule type="expression" dxfId="15107" priority="133226">
      <formula>IF($B28="Quoting",TRUE,FALSE)</formula>
    </cfRule>
    <cfRule type="expression" dxfId="15106" priority="133227">
      <formula>IF($B28="Quoting",TRUE,FALSE)</formula>
    </cfRule>
    <cfRule type="expression" dxfId="15105" priority="133228">
      <formula>IF($B28="Quoting",TRUE,FALSE)</formula>
    </cfRule>
    <cfRule type="expression" dxfId="15104" priority="133229">
      <formula>IF($B28="Quoting",TRUE,FALSE)</formula>
    </cfRule>
    <cfRule type="expression" dxfId="15103" priority="133230">
      <formula>IF($B28="Quoting",TRUE,FALSE)</formula>
    </cfRule>
    <cfRule type="expression" dxfId="15102" priority="133231">
      <formula>IF($B28="Quoting",TRUE,FALSE)</formula>
    </cfRule>
    <cfRule type="expression" dxfId="15101" priority="133232">
      <formula>IF($B28="Quoting",TRUE,FALSE)</formula>
    </cfRule>
    <cfRule type="expression" dxfId="15100" priority="133233">
      <formula>IF($B28="Quoting",TRUE,FALSE)</formula>
    </cfRule>
    <cfRule type="expression" dxfId="15099" priority="133234">
      <formula>IF($B28="Quoting",TRUE,FALSE)</formula>
    </cfRule>
    <cfRule type="expression" dxfId="15098" priority="133235">
      <formula>IF($B28="Quoting",TRUE,FALSE)</formula>
    </cfRule>
    <cfRule type="expression" dxfId="15097" priority="133236">
      <formula>IF($B28="Quoting",TRUE,FALSE)</formula>
    </cfRule>
    <cfRule type="expression" dxfId="15096" priority="133237">
      <formula>IF($B28="Quoting",TRUE,FALSE)</formula>
    </cfRule>
    <cfRule type="expression" dxfId="15095" priority="133238">
      <formula>IF($B28="Quoting",TRUE,FALSE)</formula>
    </cfRule>
    <cfRule type="expression" dxfId="15094" priority="133239">
      <formula>IF($B28="Quoting",TRUE,FALSE)</formula>
    </cfRule>
    <cfRule type="expression" dxfId="15093" priority="133240">
      <formula>IF($B28="Quoting",TRUE,FALSE)</formula>
    </cfRule>
    <cfRule type="expression" dxfId="15092" priority="133241">
      <formula>IF($B28="Quoting",TRUE,FALSE)</formula>
    </cfRule>
    <cfRule type="expression" dxfId="15091" priority="133242">
      <formula>IF($B28="Quoting",TRUE,FALSE)</formula>
    </cfRule>
    <cfRule type="expression" dxfId="15090" priority="133243">
      <formula>IF($B28="Quoting",TRUE,FALSE)</formula>
    </cfRule>
    <cfRule type="expression" dxfId="15089" priority="133244">
      <formula>IF($B28="Quoting",TRUE,FALSE)</formula>
    </cfRule>
    <cfRule type="expression" dxfId="15088" priority="133245">
      <formula>IF($B28="Quoting",TRUE,FALSE)</formula>
    </cfRule>
    <cfRule type="expression" dxfId="15087" priority="133246">
      <formula>IF($B28="Quoting",TRUE,FALSE)</formula>
    </cfRule>
    <cfRule type="expression" dxfId="15086" priority="133247">
      <formula>IF($B28="Quoting",TRUE,FALSE)</formula>
    </cfRule>
    <cfRule type="expression" dxfId="15085" priority="133248">
      <formula>IF($B28="Quoting",TRUE,FALSE)</formula>
    </cfRule>
    <cfRule type="expression" dxfId="15084" priority="133249">
      <formula>IF($B28="Quoting",TRUE,FALSE)</formula>
    </cfRule>
    <cfRule type="expression" dxfId="15083" priority="133250">
      <formula>IF($B28="Quoting",TRUE,FALSE)</formula>
    </cfRule>
    <cfRule type="expression" dxfId="15082" priority="133251">
      <formula>IF($B28="Quoting",TRUE,FALSE)</formula>
    </cfRule>
    <cfRule type="expression" dxfId="15081" priority="133252">
      <formula>IF($B28="Quoting",TRUE,FALSE)</formula>
    </cfRule>
    <cfRule type="expression" dxfId="15080" priority="133253">
      <formula>IF($B28="Quoting",TRUE,FALSE)</formula>
    </cfRule>
    <cfRule type="expression" dxfId="15079" priority="133254">
      <formula>IF($B28="Quoting",TRUE,FALSE)</formula>
    </cfRule>
    <cfRule type="expression" dxfId="15078" priority="133255">
      <formula>IF($B28="Quoting",TRUE,FALSE)</formula>
    </cfRule>
    <cfRule type="expression" dxfId="15077" priority="133256">
      <formula>IF($B28="Quoting",TRUE,FALSE)</formula>
    </cfRule>
    <cfRule type="expression" dxfId="15076" priority="133257">
      <formula>IF($B28="Quoting",TRUE,FALSE)</formula>
    </cfRule>
    <cfRule type="expression" dxfId="15075" priority="133258">
      <formula>IF($B28="Quoting",TRUE,FALSE)</formula>
    </cfRule>
    <cfRule type="expression" dxfId="15074" priority="133259">
      <formula>IF($B28="Quoting",TRUE,FALSE)</formula>
    </cfRule>
    <cfRule type="expression" dxfId="15073" priority="133260">
      <formula>IF($B28="Quoting",TRUE,FALSE)</formula>
    </cfRule>
    <cfRule type="expression" dxfId="15072" priority="133261">
      <formula>IF($B28="Quoting",TRUE,FALSE)</formula>
    </cfRule>
    <cfRule type="expression" dxfId="15071" priority="133262">
      <formula>IF($B28="Quoting",TRUE,FALSE)</formula>
    </cfRule>
    <cfRule type="expression" dxfId="15070" priority="133263">
      <formula>IF($B28="Quoting",TRUE,FALSE)</formula>
    </cfRule>
    <cfRule type="expression" dxfId="15069" priority="133264">
      <formula>IF($B28="Quoting",TRUE,FALSE)</formula>
    </cfRule>
    <cfRule type="expression" dxfId="15068" priority="133265">
      <formula>IF($B28="Quoting",TRUE,FALSE)</formula>
    </cfRule>
    <cfRule type="expression" dxfId="15067" priority="133266">
      <formula>IF($B28="Quoting",TRUE,FALSE)</formula>
    </cfRule>
    <cfRule type="expression" dxfId="15066" priority="133267">
      <formula>IF($B28="Quoting",TRUE,FALSE)</formula>
    </cfRule>
    <cfRule type="expression" dxfId="15065" priority="133268">
      <formula>IF($B28="Quoting",TRUE,FALSE)</formula>
    </cfRule>
    <cfRule type="expression" dxfId="15064" priority="133269">
      <formula>IF($B28="Quoting",TRUE,FALSE)</formula>
    </cfRule>
    <cfRule type="expression" dxfId="15063" priority="133270">
      <formula>IF($B28="Quoting",TRUE,FALSE)</formula>
    </cfRule>
    <cfRule type="expression" dxfId="15062" priority="133271">
      <formula>IF($B28="Quoting",TRUE,FALSE)</formula>
    </cfRule>
    <cfRule type="expression" dxfId="15061" priority="133272">
      <formula>IF($B28="Quoting",TRUE,FALSE)</formula>
    </cfRule>
    <cfRule type="expression" dxfId="15060" priority="133273">
      <formula>IF($B28="Quoting",TRUE,FALSE)</formula>
    </cfRule>
    <cfRule type="expression" dxfId="15059" priority="133274">
      <formula>IF($B28="Quoting",TRUE,FALSE)</formula>
    </cfRule>
    <cfRule type="expression" dxfId="15058" priority="133275">
      <formula>IF($B28="Quoting",TRUE,FALSE)</formula>
    </cfRule>
    <cfRule type="expression" dxfId="15057" priority="133276">
      <formula>IF($B28="Quoting",TRUE,FALSE)</formula>
    </cfRule>
    <cfRule type="expression" dxfId="15056" priority="133277">
      <formula>IF($B28="Quoting",TRUE,FALSE)</formula>
    </cfRule>
    <cfRule type="expression" dxfId="15055" priority="133278">
      <formula>IF($B28="Quoting",TRUE,FALSE)</formula>
    </cfRule>
    <cfRule type="expression" dxfId="15054" priority="133279">
      <formula>IF($B28="Quoting",TRUE,FALSE)</formula>
    </cfRule>
    <cfRule type="expression" dxfId="15053" priority="133280">
      <formula>IF($B28="Quoting",TRUE,FALSE)</formula>
    </cfRule>
    <cfRule type="expression" dxfId="15052" priority="133281">
      <formula>IF($B28="Quoting",TRUE,FALSE)</formula>
    </cfRule>
    <cfRule type="expression" dxfId="15051" priority="133282">
      <formula>IF($B28="Quoting",TRUE,FALSE)</formula>
    </cfRule>
    <cfRule type="expression" dxfId="15050" priority="133283">
      <formula>IF($B28="Quoting",TRUE,FALSE)</formula>
    </cfRule>
    <cfRule type="expression" dxfId="15049" priority="133284">
      <formula>IF($B28="Quoting",TRUE,FALSE)</formula>
    </cfRule>
    <cfRule type="expression" dxfId="15048" priority="133285">
      <formula>IF($B28="Quoting",TRUE,FALSE)</formula>
    </cfRule>
    <cfRule type="expression" dxfId="15047" priority="133286">
      <formula>IF($B28="Quoting",TRUE,FALSE)</formula>
    </cfRule>
    <cfRule type="expression" dxfId="15046" priority="133287">
      <formula>IF($B28="Quoting",TRUE,FALSE)</formula>
    </cfRule>
    <cfRule type="expression" dxfId="15045" priority="133288">
      <formula>IF($B28="Quoting",TRUE,FALSE)</formula>
    </cfRule>
    <cfRule type="expression" dxfId="15044" priority="133289">
      <formula>IF($B28="Quoting",TRUE,FALSE)</formula>
    </cfRule>
    <cfRule type="expression" dxfId="15043" priority="133290">
      <formula>IF($B28="Quoting",TRUE,FALSE)</formula>
    </cfRule>
    <cfRule type="expression" dxfId="15042" priority="133291">
      <formula>IF($B28="Quoting",TRUE,FALSE)</formula>
    </cfRule>
    <cfRule type="expression" dxfId="15041" priority="133292">
      <formula>IF($B28="Quoting",TRUE,FALSE)</formula>
    </cfRule>
    <cfRule type="expression" dxfId="15040" priority="133293">
      <formula>IF($B28="Quoting",TRUE,FALSE)</formula>
    </cfRule>
    <cfRule type="expression" dxfId="15039" priority="133294">
      <formula>IF($B28="Quoting",TRUE,FALSE)</formula>
    </cfRule>
    <cfRule type="expression" dxfId="15038" priority="133295">
      <formula>IF($B28="Quoting",TRUE,FALSE)</formula>
    </cfRule>
    <cfRule type="expression" dxfId="15037" priority="133296">
      <formula>IF($B28="Quoting",TRUE,FALSE)</formula>
    </cfRule>
    <cfRule type="expression" dxfId="15036" priority="133297">
      <formula>IF($B28="Quoting",TRUE,FALSE)</formula>
    </cfRule>
    <cfRule type="expression" dxfId="15035" priority="133298">
      <formula>IF($B28="Quoting",TRUE,FALSE)</formula>
    </cfRule>
    <cfRule type="expression" dxfId="15034" priority="133299">
      <formula>IF($B28="Quoting",TRUE,FALSE)</formula>
    </cfRule>
    <cfRule type="expression" dxfId="15033" priority="133300">
      <formula>IF($B28="Quoting",TRUE,FALSE)</formula>
    </cfRule>
    <cfRule type="expression" dxfId="15032" priority="133301">
      <formula>IF($B28="Quoting",TRUE,FALSE)</formula>
    </cfRule>
    <cfRule type="expression" dxfId="15031" priority="133302">
      <formula>IF($B28="Quoting",TRUE,FALSE)</formula>
    </cfRule>
    <cfRule type="expression" dxfId="15030" priority="133303">
      <formula>IF($B28="Quoting",TRUE,FALSE)</formula>
    </cfRule>
    <cfRule type="expression" dxfId="15029" priority="133304">
      <formula>IF($B28="Quoting",TRUE,FALSE)</formula>
    </cfRule>
    <cfRule type="expression" dxfId="15028" priority="133305">
      <formula>IF($B28="Quoting",TRUE,FALSE)</formula>
    </cfRule>
    <cfRule type="expression" dxfId="15027" priority="133306">
      <formula>IF($B28="Quoting",TRUE,FALSE)</formula>
    </cfRule>
    <cfRule type="expression" dxfId="15026" priority="133307">
      <formula>IF($B28="Quoting",TRUE,FALSE)</formula>
    </cfRule>
    <cfRule type="expression" dxfId="15025" priority="133308">
      <formula>IF($B28="Quoting",TRUE,FALSE)</formula>
    </cfRule>
    <cfRule type="expression" dxfId="15024" priority="133309">
      <formula>IF($B28="Quoting",TRUE,FALSE)</formula>
    </cfRule>
    <cfRule type="expression" dxfId="15023" priority="133310">
      <formula>IF($B28="Quoting",TRUE,FALSE)</formula>
    </cfRule>
    <cfRule type="expression" dxfId="15022" priority="133311">
      <formula>IF($B28="Quoting",TRUE,FALSE)</formula>
    </cfRule>
    <cfRule type="expression" dxfId="15021" priority="133312">
      <formula>IF($B28="Quoting",TRUE,FALSE)</formula>
    </cfRule>
    <cfRule type="expression" dxfId="15020" priority="133313">
      <formula>IF($B28="Quoting",TRUE,FALSE)</formula>
    </cfRule>
    <cfRule type="expression" dxfId="15019" priority="133314">
      <formula>IF($B28="Quoting",TRUE,FALSE)</formula>
    </cfRule>
    <cfRule type="expression" dxfId="15018" priority="133315">
      <formula>IF($B28="Quoting",TRUE,FALSE)</formula>
    </cfRule>
    <cfRule type="expression" dxfId="15017" priority="133316">
      <formula>IF($B28="Quoting",TRUE,FALSE)</formula>
    </cfRule>
    <cfRule type="expression" dxfId="15016" priority="133317">
      <formula>IF($B28="Quoting",TRUE,FALSE)</formula>
    </cfRule>
    <cfRule type="expression" dxfId="15015" priority="133318">
      <formula>IF($B28="Quoting",TRUE,FALSE)</formula>
    </cfRule>
    <cfRule type="expression" dxfId="15014" priority="133319">
      <formula>IF($B28="Quoting",TRUE,FALSE)</formula>
    </cfRule>
    <cfRule type="expression" dxfId="15013" priority="133320">
      <formula>IF($B28="Quoting",TRUE,FALSE)</formula>
    </cfRule>
    <cfRule type="expression" dxfId="15012" priority="133321">
      <formula>IF($B28="Quoting",TRUE,FALSE)</formula>
    </cfRule>
    <cfRule type="expression" dxfId="15011" priority="133322">
      <formula>IF($B28="Quoting",TRUE,FALSE)</formula>
    </cfRule>
    <cfRule type="expression" dxfId="15010" priority="133323">
      <formula>IF($B28="Quoting",TRUE,FALSE)</formula>
    </cfRule>
    <cfRule type="expression" dxfId="15009" priority="133324">
      <formula>IF($B28="Quoting",TRUE,FALSE)</formula>
    </cfRule>
    <cfRule type="expression" dxfId="15008" priority="133325">
      <formula>IF($B28="Quoting",TRUE,FALSE)</formula>
    </cfRule>
    <cfRule type="expression" dxfId="15007" priority="133326">
      <formula>IF($B28="Quoting",TRUE,FALSE)</formula>
    </cfRule>
    <cfRule type="expression" dxfId="15006" priority="133327">
      <formula>IF($B28="Quoting",TRUE,FALSE)</formula>
    </cfRule>
    <cfRule type="expression" dxfId="15005" priority="133328">
      <formula>IF($B28="Quoting",TRUE,FALSE)</formula>
    </cfRule>
    <cfRule type="expression" dxfId="15004" priority="133329">
      <formula>IF($B28="Quoting",TRUE,FALSE)</formula>
    </cfRule>
    <cfRule type="expression" dxfId="15003" priority="133330">
      <formula>IF($B28="Quoting",TRUE,FALSE)</formula>
    </cfRule>
    <cfRule type="expression" dxfId="15002" priority="133331">
      <formula>IF($B28="Quoting",TRUE,FALSE)</formula>
    </cfRule>
    <cfRule type="expression" dxfId="15001" priority="133332">
      <formula>IF($B28="Quoting",TRUE,FALSE)</formula>
    </cfRule>
    <cfRule type="expression" dxfId="15000" priority="133333">
      <formula>IF($B28="Quoting",TRUE,FALSE)</formula>
    </cfRule>
    <cfRule type="expression" dxfId="14999" priority="133334">
      <formula>IF($B28="Quoting",TRUE,FALSE)</formula>
    </cfRule>
    <cfRule type="expression" dxfId="14998" priority="133335">
      <formula>IF($B28="Quoting",TRUE,FALSE)</formula>
    </cfRule>
    <cfRule type="expression" dxfId="14997" priority="133336">
      <formula>IF($B28="Quoting",TRUE,FALSE)</formula>
    </cfRule>
    <cfRule type="expression" dxfId="14996" priority="133337">
      <formula>IF($B28="Quoting",TRUE,FALSE)</formula>
    </cfRule>
    <cfRule type="expression" dxfId="14995" priority="133338">
      <formula>IF($B28="Quoting",TRUE,FALSE)</formula>
    </cfRule>
    <cfRule type="expression" dxfId="14994" priority="133339">
      <formula>IF($B28="Quoting",TRUE,FALSE)</formula>
    </cfRule>
    <cfRule type="expression" dxfId="14993" priority="133340">
      <formula>IF($B28="Quoting",TRUE,FALSE)</formula>
    </cfRule>
    <cfRule type="expression" dxfId="14992" priority="133341">
      <formula>IF($B28="Quoting",TRUE,FALSE)</formula>
    </cfRule>
    <cfRule type="expression" dxfId="14991" priority="133342">
      <formula>IF($B28="Quoting",TRUE,FALSE)</formula>
    </cfRule>
    <cfRule type="expression" dxfId="14990" priority="133343">
      <formula>IF($B28="Quoting",TRUE,FALSE)</formula>
    </cfRule>
    <cfRule type="expression" dxfId="14989" priority="133344">
      <formula>IF($B28="Quoting",TRUE,FALSE)</formula>
    </cfRule>
    <cfRule type="expression" dxfId="14988" priority="133345">
      <formula>IF($B28="Quoting",TRUE,FALSE)</formula>
    </cfRule>
    <cfRule type="expression" dxfId="14987" priority="133346">
      <formula>IF($B28="Quoting",TRUE,FALSE)</formula>
    </cfRule>
    <cfRule type="expression" dxfId="14986" priority="133347">
      <formula>IF($B28="Quoting",TRUE,FALSE)</formula>
    </cfRule>
    <cfRule type="expression" dxfId="14985" priority="133348">
      <formula>IF($B28="Quoting",TRUE,FALSE)</formula>
    </cfRule>
    <cfRule type="expression" dxfId="14984" priority="133349">
      <formula>IF($B28="Quoting",TRUE,FALSE)</formula>
    </cfRule>
    <cfRule type="expression" dxfId="14983" priority="133350">
      <formula>IF($B28="Quoting",TRUE,FALSE)</formula>
    </cfRule>
    <cfRule type="expression" dxfId="14982" priority="133351">
      <formula>IF($B28="Quoting",TRUE,FALSE)</formula>
    </cfRule>
    <cfRule type="expression" dxfId="14981" priority="133352">
      <formula>IF($B28="Quoting",TRUE,FALSE)</formula>
    </cfRule>
    <cfRule type="expression" dxfId="14980" priority="133353">
      <formula>IF($B28="Quoting",TRUE,FALSE)</formula>
    </cfRule>
    <cfRule type="expression" dxfId="14979" priority="133354">
      <formula>IF($B28="Quoting",TRUE,FALSE)</formula>
    </cfRule>
    <cfRule type="expression" dxfId="14978" priority="133355">
      <formula>IF($B28="Quoting",TRUE,FALSE)</formula>
    </cfRule>
    <cfRule type="expression" dxfId="14977" priority="133356">
      <formula>IF($B28="Quoting",TRUE,FALSE)</formula>
    </cfRule>
    <cfRule type="expression" dxfId="14976" priority="133357">
      <formula>IF($B28="Quoting",TRUE,FALSE)</formula>
    </cfRule>
    <cfRule type="expression" dxfId="14975" priority="133358">
      <formula>IF($B28="Quoting",TRUE,FALSE)</formula>
    </cfRule>
    <cfRule type="expression" dxfId="14974" priority="133359">
      <formula>IF($B28="Quoting",TRUE,FALSE)</formula>
    </cfRule>
    <cfRule type="expression" dxfId="14973" priority="133360">
      <formula>IF($B28="Quoting",TRUE,FALSE)</formula>
    </cfRule>
    <cfRule type="expression" dxfId="14972" priority="133361">
      <formula>IF($B28="Quoting",TRUE,FALSE)</formula>
    </cfRule>
    <cfRule type="expression" dxfId="14971" priority="133362">
      <formula>IF($B28="Quoting",TRUE,FALSE)</formula>
    </cfRule>
    <cfRule type="expression" dxfId="14970" priority="133363">
      <formula>IF($B28="Quoting",TRUE,FALSE)</formula>
    </cfRule>
    <cfRule type="expression" dxfId="14969" priority="133364">
      <formula>IF($B28="Quoting",TRUE,FALSE)</formula>
    </cfRule>
    <cfRule type="expression" dxfId="14968" priority="133365">
      <formula>IF($B28="Quoting",TRUE,FALSE)</formula>
    </cfRule>
    <cfRule type="expression" dxfId="14967" priority="133366">
      <formula>IF($B28="Quoting",TRUE,FALSE)</formula>
    </cfRule>
    <cfRule type="expression" dxfId="14966" priority="133367">
      <formula>IF($B28="Quoting",TRUE,FALSE)</formula>
    </cfRule>
    <cfRule type="expression" dxfId="14965" priority="133368">
      <formula>IF($B28="Quoting",TRUE,FALSE)</formula>
    </cfRule>
    <cfRule type="expression" dxfId="14964" priority="133369">
      <formula>IF($B28="Quoting",TRUE,FALSE)</formula>
    </cfRule>
    <cfRule type="expression" dxfId="14963" priority="133370">
      <formula>IF($B28="Quoting",TRUE,FALSE)</formula>
    </cfRule>
    <cfRule type="expression" dxfId="14962" priority="133371">
      <formula>IF($B28="Quoting",TRUE,FALSE)</formula>
    </cfRule>
    <cfRule type="expression" dxfId="14961" priority="133372">
      <formula>IF($B28="Quoting",TRUE,FALSE)</formula>
    </cfRule>
    <cfRule type="expression" dxfId="14960" priority="133373">
      <formula>IF($B28="Quoting",TRUE,FALSE)</formula>
    </cfRule>
    <cfRule type="expression" dxfId="14959" priority="133374">
      <formula>IF($B28="Quoting",TRUE,FALSE)</formula>
    </cfRule>
    <cfRule type="expression" dxfId="14958" priority="133375">
      <formula>IF($B28="Quoting",TRUE,FALSE)</formula>
    </cfRule>
    <cfRule type="expression" dxfId="14957" priority="133376">
      <formula>IF($B28="Quoting",TRUE,FALSE)</formula>
    </cfRule>
    <cfRule type="expression" dxfId="14956" priority="133377">
      <formula>IF($B28="Quoting",TRUE,FALSE)</formula>
    </cfRule>
    <cfRule type="expression" dxfId="14955" priority="133378">
      <formula>IF($B28="Quoting",TRUE,FALSE)</formula>
    </cfRule>
    <cfRule type="expression" dxfId="14954" priority="133379">
      <formula>IF($B28="Quoting",TRUE,FALSE)</formula>
    </cfRule>
    <cfRule type="expression" dxfId="14953" priority="133380">
      <formula>IF($B28="Quoting",TRUE,FALSE)</formula>
    </cfRule>
    <cfRule type="expression" dxfId="14952" priority="133381">
      <formula>IF($B28="Quoting",TRUE,FALSE)</formula>
    </cfRule>
    <cfRule type="expression" dxfId="14951" priority="133382">
      <formula>IF($B28="Quoting",TRUE,FALSE)</formula>
    </cfRule>
    <cfRule type="expression" dxfId="14950" priority="133383">
      <formula>IF($B28="Quoting",TRUE,FALSE)</formula>
    </cfRule>
    <cfRule type="expression" dxfId="14949" priority="133384">
      <formula>IF($B28="Quoting",TRUE,FALSE)</formula>
    </cfRule>
    <cfRule type="expression" dxfId="14948" priority="133385">
      <formula>IF($B28="Quoting",TRUE,FALSE)</formula>
    </cfRule>
    <cfRule type="expression" dxfId="14947" priority="133386">
      <formula>IF($B28="Quoting",TRUE,FALSE)</formula>
    </cfRule>
    <cfRule type="expression" dxfId="14946" priority="133387">
      <formula>IF($B28="Quoting",TRUE,FALSE)</formula>
    </cfRule>
    <cfRule type="expression" dxfId="14945" priority="133388">
      <formula>IF($B28="Quoting",TRUE,FALSE)</formula>
    </cfRule>
    <cfRule type="expression" dxfId="14944" priority="133389">
      <formula>IF($B28="Quoting",TRUE,FALSE)</formula>
    </cfRule>
    <cfRule type="expression" dxfId="14943" priority="133390">
      <formula>IF($B28="Quoting",TRUE,FALSE)</formula>
    </cfRule>
    <cfRule type="expression" dxfId="14942" priority="133391">
      <formula>IF($B28="Quoting",TRUE,FALSE)</formula>
    </cfRule>
    <cfRule type="expression" dxfId="14941" priority="133392">
      <formula>IF($B28="Quoting",TRUE,FALSE)</formula>
    </cfRule>
    <cfRule type="expression" dxfId="14940" priority="133393">
      <formula>IF($B28="Quoting",TRUE,FALSE)</formula>
    </cfRule>
    <cfRule type="expression" dxfId="14939" priority="133394">
      <formula>IF($B28="Quoting",TRUE,FALSE)</formula>
    </cfRule>
    <cfRule type="expression" dxfId="14938" priority="133395">
      <formula>IF($B28="Quoting",TRUE,FALSE)</formula>
    </cfRule>
    <cfRule type="expression" dxfId="14937" priority="133396">
      <formula>IF($B28="Quoting",TRUE,FALSE)</formula>
    </cfRule>
    <cfRule type="expression" dxfId="14936" priority="133397">
      <formula>IF($B28="Quoting",TRUE,FALSE)</formula>
    </cfRule>
    <cfRule type="expression" dxfId="14935" priority="133398">
      <formula>IF($B28="Quoting",TRUE,FALSE)</formula>
    </cfRule>
    <cfRule type="expression" dxfId="14934" priority="133399">
      <formula>IF($B28="Quoting",TRUE,FALSE)</formula>
    </cfRule>
    <cfRule type="expression" dxfId="14933" priority="133400">
      <formula>IF($B28="Quoting",TRUE,FALSE)</formula>
    </cfRule>
    <cfRule type="expression" dxfId="14932" priority="133401">
      <formula>IF($B28="Quoting",TRUE,FALSE)</formula>
    </cfRule>
    <cfRule type="expression" dxfId="14931" priority="133402">
      <formula>IF($B28="Quoting",TRUE,FALSE)</formula>
    </cfRule>
    <cfRule type="expression" dxfId="14930" priority="133403">
      <formula>IF($B28="Quoting",TRUE,FALSE)</formula>
    </cfRule>
    <cfRule type="expression" dxfId="14929" priority="133404">
      <formula>IF($B28="Quoting",TRUE,FALSE)</formula>
    </cfRule>
    <cfRule type="expression" dxfId="14928" priority="133405">
      <formula>IF($B28="Quoting",TRUE,FALSE)</formula>
    </cfRule>
    <cfRule type="expression" dxfId="14927" priority="133406">
      <formula>IF($B28="Quoting",TRUE,FALSE)</formula>
    </cfRule>
    <cfRule type="expression" dxfId="14926" priority="133407">
      <formula>IF($B28="Quoting",TRUE,FALSE)</formula>
    </cfRule>
    <cfRule type="expression" dxfId="14925" priority="133408">
      <formula>IF($B28="Quoting",TRUE,FALSE)</formula>
    </cfRule>
    <cfRule type="expression" dxfId="14924" priority="133409">
      <formula>IF($B28="Quoting",TRUE,FALSE)</formula>
    </cfRule>
    <cfRule type="expression" dxfId="14923" priority="133410">
      <formula>IF($B28="Quoting",TRUE,FALSE)</formula>
    </cfRule>
    <cfRule type="expression" dxfId="14922" priority="133411">
      <formula>IF($B28="Quoting",TRUE,FALSE)</formula>
    </cfRule>
    <cfRule type="expression" dxfId="14921" priority="133412">
      <formula>IF($B28="Quoting",TRUE,FALSE)</formula>
    </cfRule>
    <cfRule type="expression" dxfId="14920" priority="133413">
      <formula>IF($B28="Quoting",TRUE,FALSE)</formula>
    </cfRule>
    <cfRule type="expression" dxfId="14919" priority="133414">
      <formula>IF($B28="Quoting",TRUE,FALSE)</formula>
    </cfRule>
    <cfRule type="expression" dxfId="14918" priority="133415">
      <formula>IF($B28="Quoting",TRUE,FALSE)</formula>
    </cfRule>
    <cfRule type="expression" dxfId="14917" priority="133416">
      <formula>IF($B28="Quoting",TRUE,FALSE)</formula>
    </cfRule>
    <cfRule type="expression" dxfId="14916" priority="133417">
      <formula>IF($B28="Quoting",TRUE,FALSE)</formula>
    </cfRule>
    <cfRule type="expression" dxfId="14915" priority="133418">
      <formula>IF($B28="Quoting",TRUE,FALSE)</formula>
    </cfRule>
    <cfRule type="expression" dxfId="14914" priority="133419">
      <formula>IF($B28="Quoting",TRUE,FALSE)</formula>
    </cfRule>
    <cfRule type="expression" dxfId="14913" priority="133420">
      <formula>IF($B28="Quoting",TRUE,FALSE)</formula>
    </cfRule>
    <cfRule type="expression" dxfId="14912" priority="133421">
      <formula>IF($B28="Quoting",TRUE,FALSE)</formula>
    </cfRule>
    <cfRule type="expression" dxfId="14911" priority="133422">
      <formula>IF($B28="Quoting",TRUE,FALSE)</formula>
    </cfRule>
    <cfRule type="expression" dxfId="14910" priority="133423">
      <formula>IF($B28="Quoting",TRUE,FALSE)</formula>
    </cfRule>
    <cfRule type="expression" dxfId="14909" priority="133424">
      <formula>IF($B28="Quoting",TRUE,FALSE)</formula>
    </cfRule>
    <cfRule type="expression" dxfId="14908" priority="133425">
      <formula>IF($B28="Quoting",TRUE,FALSE)</formula>
    </cfRule>
    <cfRule type="expression" dxfId="14907" priority="133426">
      <formula>IF($B28="Quoting",TRUE,FALSE)</formula>
    </cfRule>
    <cfRule type="expression" dxfId="14906" priority="133427">
      <formula>IF($B28="Quoting",TRUE,FALSE)</formula>
    </cfRule>
    <cfRule type="expression" dxfId="14905" priority="133428">
      <formula>IF($B28="Quoting",TRUE,FALSE)</formula>
    </cfRule>
    <cfRule type="expression" dxfId="14904" priority="133429">
      <formula>IF($B28="Quoting",TRUE,FALSE)</formula>
    </cfRule>
    <cfRule type="expression" dxfId="14903" priority="133430">
      <formula>IF($B28="Quoting",TRUE,FALSE)</formula>
    </cfRule>
    <cfRule type="expression" dxfId="14902" priority="133431">
      <formula>IF($B28="Quoting",TRUE,FALSE)</formula>
    </cfRule>
    <cfRule type="expression" dxfId="14901" priority="133432">
      <formula>IF($B28="Quoting",TRUE,FALSE)</formula>
    </cfRule>
    <cfRule type="expression" dxfId="14900" priority="133433">
      <formula>IF($B28="Quoting",TRUE,FALSE)</formula>
    </cfRule>
    <cfRule type="expression" dxfId="14899" priority="133434">
      <formula>IF($B28="Quoting",TRUE,FALSE)</formula>
    </cfRule>
    <cfRule type="expression" dxfId="14898" priority="133435">
      <formula>IF($B28="Quoting",TRUE,FALSE)</formula>
    </cfRule>
    <cfRule type="expression" dxfId="14897" priority="133436">
      <formula>IF($B28="Quoting",TRUE,FALSE)</formula>
    </cfRule>
    <cfRule type="expression" dxfId="14896" priority="133437">
      <formula>IF($B28="Quoting",TRUE,FALSE)</formula>
    </cfRule>
    <cfRule type="expression" dxfId="14895" priority="133438">
      <formula>IF($B28="Quoting",TRUE,FALSE)</formula>
    </cfRule>
    <cfRule type="expression" dxfId="14894" priority="133439">
      <formula>IF($B28="Quoting",TRUE,FALSE)</formula>
    </cfRule>
    <cfRule type="expression" dxfId="14893" priority="133440">
      <formula>IF($B28="Quoting",TRUE,FALSE)</formula>
    </cfRule>
    <cfRule type="expression" dxfId="14892" priority="133441">
      <formula>IF($B28="Quoting",TRUE,FALSE)</formula>
    </cfRule>
    <cfRule type="expression" dxfId="14891" priority="133442">
      <formula>IF($B28="Quoting",TRUE,FALSE)</formula>
    </cfRule>
    <cfRule type="expression" dxfId="14890" priority="133443">
      <formula>IF($B28="Quoting",TRUE,FALSE)</formula>
    </cfRule>
    <cfRule type="expression" dxfId="14889" priority="133444">
      <formula>IF($B28="Quoting",TRUE,FALSE)</formula>
    </cfRule>
    <cfRule type="expression" dxfId="14888" priority="133445">
      <formula>IF($B28="Quoting",TRUE,FALSE)</formula>
    </cfRule>
    <cfRule type="expression" dxfId="14887" priority="133446">
      <formula>IF($B28="Quoting",TRUE,FALSE)</formula>
    </cfRule>
    <cfRule type="expression" dxfId="14886" priority="133447">
      <formula>IF($B28="Quoting",TRUE,FALSE)</formula>
    </cfRule>
    <cfRule type="expression" dxfId="14885" priority="133448">
      <formula>IF($B28="Quoting",TRUE,FALSE)</formula>
    </cfRule>
    <cfRule type="expression" dxfId="14884" priority="133449">
      <formula>IF($B28="Quoting",TRUE,FALSE)</formula>
    </cfRule>
    <cfRule type="expression" dxfId="14883" priority="133450">
      <formula>IF($B28="Quoting",TRUE,FALSE)</formula>
    </cfRule>
    <cfRule type="expression" dxfId="14882" priority="133451">
      <formula>IF($B28="Quoting",TRUE,FALSE)</formula>
    </cfRule>
    <cfRule type="expression" dxfId="14881" priority="133452">
      <formula>IF($B28="Quoting",TRUE,FALSE)</formula>
    </cfRule>
    <cfRule type="expression" dxfId="14880" priority="133453">
      <formula>IF($B28="Quoting",TRUE,FALSE)</formula>
    </cfRule>
    <cfRule type="expression" dxfId="14879" priority="133454">
      <formula>IF($B28="Quoting",TRUE,FALSE)</formula>
    </cfRule>
    <cfRule type="expression" dxfId="14878" priority="133455">
      <formula>IF($B28="Quoting",TRUE,FALSE)</formula>
    </cfRule>
    <cfRule type="expression" dxfId="14877" priority="133456">
      <formula>IF($B28="Quoting",TRUE,FALSE)</formula>
    </cfRule>
    <cfRule type="expression" dxfId="14876" priority="133457">
      <formula>IF($B28="Quoting",TRUE,FALSE)</formula>
    </cfRule>
    <cfRule type="expression" dxfId="14875" priority="133458">
      <formula>IF($B28="Quoting",TRUE,FALSE)</formula>
    </cfRule>
    <cfRule type="expression" dxfId="14874" priority="133459">
      <formula>IF($B28="Quoting",TRUE,FALSE)</formula>
    </cfRule>
    <cfRule type="expression" dxfId="14873" priority="133460">
      <formula>IF($B28="Quoting",TRUE,FALSE)</formula>
    </cfRule>
    <cfRule type="expression" dxfId="14872" priority="133461">
      <formula>IF($B28="Quoting",TRUE,FALSE)</formula>
    </cfRule>
    <cfRule type="expression" dxfId="14871" priority="133462">
      <formula>IF($B28="Quoting",TRUE,FALSE)</formula>
    </cfRule>
    <cfRule type="expression" dxfId="14870" priority="133463">
      <formula>IF($B28="Quoting",TRUE,FALSE)</formula>
    </cfRule>
    <cfRule type="expression" dxfId="14869" priority="133464">
      <formula>IF($B28="Quoting",TRUE,FALSE)</formula>
    </cfRule>
    <cfRule type="expression" dxfId="14868" priority="133465">
      <formula>IF($B28="Quoting",TRUE,FALSE)</formula>
    </cfRule>
    <cfRule type="expression" dxfId="14867" priority="133466">
      <formula>IF($B28="Quoting",TRUE,FALSE)</formula>
    </cfRule>
    <cfRule type="expression" dxfId="14866" priority="133467">
      <formula>IF($B28="Quoting",TRUE,FALSE)</formula>
    </cfRule>
    <cfRule type="expression" dxfId="14865" priority="133468">
      <formula>IF($B28="Quoting",TRUE,FALSE)</formula>
    </cfRule>
    <cfRule type="expression" dxfId="14864" priority="133469">
      <formula>IF($B28="Quoting",TRUE,FALSE)</formula>
    </cfRule>
    <cfRule type="expression" dxfId="14863" priority="133470">
      <formula>IF($B28="Quoting",TRUE,FALSE)</formula>
    </cfRule>
    <cfRule type="expression" dxfId="14862" priority="133471">
      <formula>IF($B28="Quoting",TRUE,FALSE)</formula>
    </cfRule>
    <cfRule type="expression" dxfId="14861" priority="133472">
      <formula>IF($B28="Quoting",TRUE,FALSE)</formula>
    </cfRule>
    <cfRule type="expression" dxfId="14860" priority="133473">
      <formula>IF($B28="Quoting",TRUE,FALSE)</formula>
    </cfRule>
    <cfRule type="expression" dxfId="14859" priority="133474">
      <formula>IF($B28="Quoting",TRUE,FALSE)</formula>
    </cfRule>
    <cfRule type="expression" dxfId="14858" priority="133475">
      <formula>IF($B28="Quoting",TRUE,FALSE)</formula>
    </cfRule>
    <cfRule type="expression" dxfId="14857" priority="133476">
      <formula>IF($B28="Quoting",TRUE,FALSE)</formula>
    </cfRule>
    <cfRule type="expression" dxfId="14856" priority="133477">
      <formula>IF($B28="Quoting",TRUE,FALSE)</formula>
    </cfRule>
    <cfRule type="expression" dxfId="14855" priority="133478">
      <formula>IF($B28="Quoting",TRUE,FALSE)</formula>
    </cfRule>
    <cfRule type="expression" dxfId="14854" priority="133479">
      <formula>IF($B28="Quoting",TRUE,FALSE)</formula>
    </cfRule>
    <cfRule type="expression" dxfId="14853" priority="133480">
      <formula>IF($B28="Quoting",TRUE,FALSE)</formula>
    </cfRule>
    <cfRule type="expression" dxfId="14852" priority="133481">
      <formula>IF($B28="Quoting",TRUE,FALSE)</formula>
    </cfRule>
    <cfRule type="expression" dxfId="14851" priority="133482">
      <formula>IF($B28="Quoting",TRUE,FALSE)</formula>
    </cfRule>
    <cfRule type="expression" dxfId="14850" priority="133483">
      <formula>IF($B28="Quoting",TRUE,FALSE)</formula>
    </cfRule>
    <cfRule type="expression" dxfId="14849" priority="133484">
      <formula>IF($B28="Quoting",TRUE,FALSE)</formula>
    </cfRule>
    <cfRule type="expression" dxfId="14848" priority="133485">
      <formula>IF($B28="Quoting",TRUE,FALSE)</formula>
    </cfRule>
    <cfRule type="expression" dxfId="14847" priority="133486">
      <formula>IF($B28="Quoting",TRUE,FALSE)</formula>
    </cfRule>
    <cfRule type="expression" dxfId="14846" priority="133487">
      <formula>IF($B28="Quoting",TRUE,FALSE)</formula>
    </cfRule>
    <cfRule type="expression" dxfId="14845" priority="133488">
      <formula>IF($B28="Quoting",TRUE,FALSE)</formula>
    </cfRule>
    <cfRule type="expression" dxfId="14844" priority="133489">
      <formula>IF($B28="Quoting",TRUE,FALSE)</formula>
    </cfRule>
    <cfRule type="expression" dxfId="14843" priority="133490">
      <formula>IF($B28="Quoting",TRUE,FALSE)</formula>
    </cfRule>
    <cfRule type="expression" dxfId="14842" priority="133491">
      <formula>IF($B28="Quoting",TRUE,FALSE)</formula>
    </cfRule>
    <cfRule type="expression" dxfId="14841" priority="133492">
      <formula>IF($B28="Quoting",TRUE,FALSE)</formula>
    </cfRule>
    <cfRule type="expression" dxfId="14840" priority="133493">
      <formula>IF($B28="Quoting",TRUE,FALSE)</formula>
    </cfRule>
    <cfRule type="expression" dxfId="14839" priority="133494">
      <formula>IF($B28="Quoting",TRUE,FALSE)</formula>
    </cfRule>
    <cfRule type="expression" dxfId="14838" priority="133495">
      <formula>IF($B28="Quoting",TRUE,FALSE)</formula>
    </cfRule>
    <cfRule type="expression" dxfId="14837" priority="133496">
      <formula>IF($B28="Quoting",TRUE,FALSE)</formula>
    </cfRule>
    <cfRule type="expression" dxfId="14836" priority="133497">
      <formula>IF($B28="Quoting",TRUE,FALSE)</formula>
    </cfRule>
    <cfRule type="expression" dxfId="14835" priority="133498">
      <formula>IF($B28="Quoting",TRUE,FALSE)</formula>
    </cfRule>
    <cfRule type="expression" dxfId="14834" priority="133499">
      <formula>IF($B28="Quoting",TRUE,FALSE)</formula>
    </cfRule>
    <cfRule type="expression" dxfId="14833" priority="133500">
      <formula>IF($B28="Quoting",TRUE,FALSE)</formula>
    </cfRule>
    <cfRule type="expression" dxfId="14832" priority="133501">
      <formula>IF($B28="Quoting",TRUE,FALSE)</formula>
    </cfRule>
    <cfRule type="expression" dxfId="14831" priority="133502">
      <formula>IF($B28="Quoting",TRUE,FALSE)</formula>
    </cfRule>
    <cfRule type="expression" dxfId="14830" priority="133503">
      <formula>IF($B28="Quoting",TRUE,FALSE)</formula>
    </cfRule>
    <cfRule type="expression" dxfId="14829" priority="133504">
      <formula>IF($B28="Quoting",TRUE,FALSE)</formula>
    </cfRule>
    <cfRule type="expression" dxfId="14828" priority="133505">
      <formula>IF($B28="Quoting",TRUE,FALSE)</formula>
    </cfRule>
    <cfRule type="expression" dxfId="14827" priority="133506">
      <formula>IF($B28="Quoting",TRUE,FALSE)</formula>
    </cfRule>
    <cfRule type="expression" dxfId="14826" priority="133507">
      <formula>IF($B28="Quoting",TRUE,FALSE)</formula>
    </cfRule>
    <cfRule type="expression" dxfId="14825" priority="133508">
      <formula>IF($B28="Quoting",TRUE,FALSE)</formula>
    </cfRule>
    <cfRule type="expression" dxfId="14824" priority="133509">
      <formula>IF($B28="Quoting",TRUE,FALSE)</formula>
    </cfRule>
    <cfRule type="expression" dxfId="14823" priority="133510">
      <formula>IF($B28="Quoting",TRUE,FALSE)</formula>
    </cfRule>
    <cfRule type="expression" dxfId="14822" priority="133511">
      <formula>IF($B28="Quoting",TRUE,FALSE)</formula>
    </cfRule>
    <cfRule type="expression" dxfId="14821" priority="133512">
      <formula>IF($B28="Quoting",TRUE,FALSE)</formula>
    </cfRule>
    <cfRule type="expression" dxfId="14820" priority="133513">
      <formula>IF($B28="Quoting",TRUE,FALSE)</formula>
    </cfRule>
    <cfRule type="expression" dxfId="14819" priority="133514">
      <formula>IF($B28="Quoting",TRUE,FALSE)</formula>
    </cfRule>
    <cfRule type="expression" dxfId="14818" priority="133515">
      <formula>IF($B28="Quoting",TRUE,FALSE)</formula>
    </cfRule>
    <cfRule type="expression" dxfId="14817" priority="133516">
      <formula>IF($B28="Quoting",TRUE,FALSE)</formula>
    </cfRule>
    <cfRule type="expression" dxfId="14816" priority="133517">
      <formula>IF($B28="Quoting",TRUE,FALSE)</formula>
    </cfRule>
    <cfRule type="expression" dxfId="14815" priority="133518">
      <formula>IF($B28="Quoting",TRUE,FALSE)</formula>
    </cfRule>
    <cfRule type="expression" dxfId="14814" priority="133519">
      <formula>IF($B28="Quoting",TRUE,FALSE)</formula>
    </cfRule>
    <cfRule type="expression" dxfId="14813" priority="133520">
      <formula>IF($B28="Quoting",TRUE,FALSE)</formula>
    </cfRule>
    <cfRule type="expression" dxfId="14812" priority="133521">
      <formula>IF($B28="Quoting",TRUE,FALSE)</formula>
    </cfRule>
    <cfRule type="expression" dxfId="14811" priority="133522">
      <formula>IF($B28="Quoting",TRUE,FALSE)</formula>
    </cfRule>
    <cfRule type="expression" dxfId="14810" priority="133523">
      <formula>IF($B28="Quoting",TRUE,FALSE)</formula>
    </cfRule>
    <cfRule type="expression" dxfId="14809" priority="133524">
      <formula>IF($B28="Quoting",TRUE,FALSE)</formula>
    </cfRule>
    <cfRule type="expression" dxfId="14808" priority="133525">
      <formula>IF($B28="Quoting",TRUE,FALSE)</formula>
    </cfRule>
    <cfRule type="expression" dxfId="14807" priority="133526">
      <formula>IF($B28="Quoting",TRUE,FALSE)</formula>
    </cfRule>
    <cfRule type="expression" dxfId="14806" priority="133527">
      <formula>IF($B28="Quoting",TRUE,FALSE)</formula>
    </cfRule>
    <cfRule type="expression" dxfId="14805" priority="133528">
      <formula>IF($B28="Quoting",TRUE,FALSE)</formula>
    </cfRule>
    <cfRule type="expression" dxfId="14804" priority="133529">
      <formula>IF($B28="Quoting",TRUE,FALSE)</formula>
    </cfRule>
    <cfRule type="expression" dxfId="14803" priority="133530">
      <formula>IF($B28="Quoting",TRUE,FALSE)</formula>
    </cfRule>
    <cfRule type="expression" dxfId="14802" priority="133531">
      <formula>IF($B28="Quoting",TRUE,FALSE)</formula>
    </cfRule>
    <cfRule type="expression" dxfId="14801" priority="133532">
      <formula>IF($B28="Quoting",TRUE,FALSE)</formula>
    </cfRule>
    <cfRule type="expression" dxfId="14800" priority="133533">
      <formula>IF($B28="Quoting",TRUE,FALSE)</formula>
    </cfRule>
    <cfRule type="expression" dxfId="14799" priority="133534">
      <formula>IF($B28="Quoting",TRUE,FALSE)</formula>
    </cfRule>
    <cfRule type="expression" dxfId="14798" priority="133535">
      <formula>IF($B28="Quoting",TRUE,FALSE)</formula>
    </cfRule>
    <cfRule type="expression" dxfId="14797" priority="133536">
      <formula>IF($B28="Quoting",TRUE,FALSE)</formula>
    </cfRule>
    <cfRule type="expression" dxfId="14796" priority="133537">
      <formula>IF($B28="Quoting",TRUE,FALSE)</formula>
    </cfRule>
    <cfRule type="expression" dxfId="14795" priority="133538">
      <formula>IF($B28="Quoting",TRUE,FALSE)</formula>
    </cfRule>
    <cfRule type="expression" dxfId="14794" priority="133539">
      <formula>IF($B28="Quoting",TRUE,FALSE)</formula>
    </cfRule>
    <cfRule type="expression" dxfId="14793" priority="133540">
      <formula>IF($B28="Quoting",TRUE,FALSE)</formula>
    </cfRule>
    <cfRule type="expression" dxfId="14792" priority="133541">
      <formula>IF($B28="Quoting",TRUE,FALSE)</formula>
    </cfRule>
    <cfRule type="expression" dxfId="14791" priority="133542">
      <formula>IF($B28="Quoting",TRUE,FALSE)</formula>
    </cfRule>
    <cfRule type="expression" dxfId="14790" priority="133543">
      <formula>IF($B28="Quoting",TRUE,FALSE)</formula>
    </cfRule>
    <cfRule type="expression" dxfId="14789" priority="133544">
      <formula>IF($B28="Quoting",TRUE,FALSE)</formula>
    </cfRule>
    <cfRule type="expression" dxfId="14788" priority="133545">
      <formula>IF($B28="Quoting",TRUE,FALSE)</formula>
    </cfRule>
    <cfRule type="expression" dxfId="14787" priority="133546">
      <formula>IF($B28="Quoting",TRUE,FALSE)</formula>
    </cfRule>
    <cfRule type="expression" dxfId="14786" priority="133547">
      <formula>IF($B28="Quoting",TRUE,FALSE)</formula>
    </cfRule>
    <cfRule type="expression" dxfId="14785" priority="133548">
      <formula>IF($B28="Quoting",TRUE,FALSE)</formula>
    </cfRule>
    <cfRule type="expression" dxfId="14784" priority="133549">
      <formula>IF($B28="Quoting",TRUE,FALSE)</formula>
    </cfRule>
    <cfRule type="expression" dxfId="14783" priority="133550">
      <formula>IF($B28="Quoting",TRUE,FALSE)</formula>
    </cfRule>
    <cfRule type="expression" dxfId="14782" priority="133551">
      <formula>IF($B28="Quoting",TRUE,FALSE)</formula>
    </cfRule>
    <cfRule type="expression" dxfId="14781" priority="133552">
      <formula>IF($B28="Quoting",TRUE,FALSE)</formula>
    </cfRule>
    <cfRule type="expression" dxfId="14780" priority="133553">
      <formula>IF($B28="Quoting",TRUE,FALSE)</formula>
    </cfRule>
    <cfRule type="expression" dxfId="14779" priority="133554">
      <formula>IF($B28="Quoting",TRUE,FALSE)</formula>
    </cfRule>
    <cfRule type="expression" dxfId="14778" priority="133555">
      <formula>IF($B28="Quoting",TRUE,FALSE)</formula>
    </cfRule>
    <cfRule type="expression" dxfId="14777" priority="133556">
      <formula>IF($B28="Quoting",TRUE,FALSE)</formula>
    </cfRule>
    <cfRule type="expression" dxfId="14776" priority="133557">
      <formula>IF($B28="Quoting",TRUE,FALSE)</formula>
    </cfRule>
    <cfRule type="expression" dxfId="14775" priority="133558">
      <formula>IF($B28="Quoting",TRUE,FALSE)</formula>
    </cfRule>
    <cfRule type="expression" dxfId="14774" priority="133559">
      <formula>IF($B28="Quoting",TRUE,FALSE)</formula>
    </cfRule>
    <cfRule type="expression" dxfId="14773" priority="133560">
      <formula>IF($B28="Quoting",TRUE,FALSE)</formula>
    </cfRule>
    <cfRule type="expression" dxfId="14772" priority="133561">
      <formula>IF($B28="Quoting",TRUE,FALSE)</formula>
    </cfRule>
    <cfRule type="expression" dxfId="14771" priority="133562">
      <formula>IF($B28="Quoting",TRUE,FALSE)</formula>
    </cfRule>
    <cfRule type="expression" dxfId="14770" priority="133563">
      <formula>IF($B28="Quoting",TRUE,FALSE)</formula>
    </cfRule>
    <cfRule type="expression" dxfId="14769" priority="133564">
      <formula>IF($B28="Quoting",TRUE,FALSE)</formula>
    </cfRule>
    <cfRule type="expression" dxfId="14768" priority="133565">
      <formula>IF($B28="Quoting",TRUE,FALSE)</formula>
    </cfRule>
    <cfRule type="expression" dxfId="14767" priority="133566">
      <formula>IF($B28="Quoting",TRUE,FALSE)</formula>
    </cfRule>
    <cfRule type="expression" dxfId="14766" priority="133567">
      <formula>IF($B28="Quoting",TRUE,FALSE)</formula>
    </cfRule>
    <cfRule type="expression" dxfId="14765" priority="133568">
      <formula>IF($B28="Quoting",TRUE,FALSE)</formula>
    </cfRule>
    <cfRule type="expression" dxfId="14764" priority="133569">
      <formula>IF($B28="Quoting",TRUE,FALSE)</formula>
    </cfRule>
    <cfRule type="expression" dxfId="14763" priority="133570">
      <formula>IF($B28="Quoting",TRUE,FALSE)</formula>
    </cfRule>
    <cfRule type="expression" dxfId="14762" priority="133571">
      <formula>IF($B28="Quoting",TRUE,FALSE)</formula>
    </cfRule>
    <cfRule type="expression" dxfId="14761" priority="133572">
      <formula>IF($B28="Quoting",TRUE,FALSE)</formula>
    </cfRule>
    <cfRule type="expression" dxfId="14760" priority="133573">
      <formula>IF($B28="Quoting",TRUE,FALSE)</formula>
    </cfRule>
    <cfRule type="expression" dxfId="14759" priority="133574">
      <formula>IF($B28="Quoting",TRUE,FALSE)</formula>
    </cfRule>
    <cfRule type="expression" dxfId="14758" priority="133575">
      <formula>IF($B28="Quoting",TRUE,FALSE)</formula>
    </cfRule>
    <cfRule type="expression" dxfId="14757" priority="133576">
      <formula>IF($B28="Quoting",TRUE,FALSE)</formula>
    </cfRule>
    <cfRule type="expression" dxfId="14756" priority="133577">
      <formula>IF($B28="Quoting",TRUE,FALSE)</formula>
    </cfRule>
    <cfRule type="expression" dxfId="14755" priority="133578">
      <formula>IF($B28="Quoting",TRUE,FALSE)</formula>
    </cfRule>
    <cfRule type="expression" dxfId="14754" priority="133579">
      <formula>IF($B28="Quoting",TRUE,FALSE)</formula>
    </cfRule>
    <cfRule type="expression" dxfId="14753" priority="133580">
      <formula>IF($B28="Quoting",TRUE,FALSE)</formula>
    </cfRule>
    <cfRule type="expression" dxfId="14752" priority="133581">
      <formula>IF($B28="Quoting",TRUE,FALSE)</formula>
    </cfRule>
    <cfRule type="expression" dxfId="14751" priority="133582">
      <formula>IF($B28="Quoting",TRUE,FALSE)</formula>
    </cfRule>
    <cfRule type="expression" dxfId="14750" priority="133583">
      <formula>IF($B28="Quoting",TRUE,FALSE)</formula>
    </cfRule>
    <cfRule type="expression" dxfId="14749" priority="133584">
      <formula>IF($B28="Quoting",TRUE,FALSE)</formula>
    </cfRule>
    <cfRule type="expression" dxfId="14748" priority="133585">
      <formula>IF($B28="Quoting",TRUE,FALSE)</formula>
    </cfRule>
    <cfRule type="expression" dxfId="14747" priority="133586">
      <formula>IF($B28="Quoting",TRUE,FALSE)</formula>
    </cfRule>
    <cfRule type="expression" dxfId="14746" priority="133587">
      <formula>IF($B28="Quoting",TRUE,FALSE)</formula>
    </cfRule>
    <cfRule type="expression" dxfId="14745" priority="133588">
      <formula>IF($B28="Quoting",TRUE,FALSE)</formula>
    </cfRule>
    <cfRule type="expression" dxfId="14744" priority="133589">
      <formula>IF($B28="Quoting",TRUE,FALSE)</formula>
    </cfRule>
    <cfRule type="expression" dxfId="14743" priority="133590">
      <formula>IF($B28="Quoting",TRUE,FALSE)</formula>
    </cfRule>
    <cfRule type="expression" dxfId="14742" priority="133591">
      <formula>IF($B28="Quoting",TRUE,FALSE)</formula>
    </cfRule>
    <cfRule type="expression" dxfId="14741" priority="133592">
      <formula>IF($B28="Quoting",TRUE,FALSE)</formula>
    </cfRule>
    <cfRule type="expression" dxfId="14740" priority="133593">
      <formula>IF($B28="Quoting",TRUE,FALSE)</formula>
    </cfRule>
    <cfRule type="expression" dxfId="14739" priority="133594">
      <formula>IF($B28="Quoting",TRUE,FALSE)</formula>
    </cfRule>
    <cfRule type="expression" dxfId="14738" priority="133595">
      <formula>IF($B28="Quoting",TRUE,FALSE)</formula>
    </cfRule>
    <cfRule type="expression" dxfId="14737" priority="133596">
      <formula>IF($B28="Quoting",TRUE,FALSE)</formula>
    </cfRule>
    <cfRule type="expression" dxfId="14736" priority="133597">
      <formula>IF($B28="Quoting",TRUE,FALSE)</formula>
    </cfRule>
    <cfRule type="expression" dxfId="14735" priority="133598">
      <formula>IF($B28="Quoting",TRUE,FALSE)</formula>
    </cfRule>
    <cfRule type="expression" dxfId="14734" priority="133599">
      <formula>IF($B28="Quoting",TRUE,FALSE)</formula>
    </cfRule>
    <cfRule type="expression" dxfId="14733" priority="133600">
      <formula>IF($B28="Quoting",TRUE,FALSE)</formula>
    </cfRule>
    <cfRule type="expression" dxfId="14732" priority="133601">
      <formula>IF($B28="Quoting",TRUE,FALSE)</formula>
    </cfRule>
    <cfRule type="expression" dxfId="14731" priority="133602">
      <formula>IF($B28="Quoting",TRUE,FALSE)</formula>
    </cfRule>
    <cfRule type="expression" dxfId="14730" priority="133603">
      <formula>IF($B28="Quoting",TRUE,FALSE)</formula>
    </cfRule>
    <cfRule type="expression" dxfId="14729" priority="133604">
      <formula>IF($B28="Quoting",TRUE,FALSE)</formula>
    </cfRule>
    <cfRule type="expression" dxfId="14728" priority="133605">
      <formula>IF($B28="Quoting",TRUE,FALSE)</formula>
    </cfRule>
    <cfRule type="expression" dxfId="14727" priority="133606">
      <formula>IF($B28="Quoting",TRUE,FALSE)</formula>
    </cfRule>
    <cfRule type="expression" dxfId="14726" priority="133607">
      <formula>IF($B28="Quoting",TRUE,FALSE)</formula>
    </cfRule>
    <cfRule type="expression" dxfId="14725" priority="133608">
      <formula>IF($B28="Quoting",TRUE,FALSE)</formula>
    </cfRule>
    <cfRule type="expression" dxfId="14724" priority="133609">
      <formula>IF($B28="Quoting",TRUE,FALSE)</formula>
    </cfRule>
    <cfRule type="expression" dxfId="14723" priority="133610">
      <formula>IF($B28="Quoting",TRUE,FALSE)</formula>
    </cfRule>
    <cfRule type="expression" dxfId="14722" priority="133611">
      <formula>IF($B28="Quoting",TRUE,FALSE)</formula>
    </cfRule>
    <cfRule type="expression" dxfId="14721" priority="133612">
      <formula>IF($B28="Quoting",TRUE,FALSE)</formula>
    </cfRule>
    <cfRule type="expression" dxfId="14720" priority="133613">
      <formula>IF($B28="Quoting",TRUE,FALSE)</formula>
    </cfRule>
    <cfRule type="expression" dxfId="14719" priority="133614">
      <formula>IF($B28="Quoting",TRUE,FALSE)</formula>
    </cfRule>
    <cfRule type="expression" dxfId="14718" priority="133615">
      <formula>IF($B28="Quoting",TRUE,FALSE)</formula>
    </cfRule>
    <cfRule type="expression" dxfId="14717" priority="133616">
      <formula>IF($B28="Quoting",TRUE,FALSE)</formula>
    </cfRule>
    <cfRule type="expression" dxfId="14716" priority="133617">
      <formula>IF($B28="Quoting",TRUE,FALSE)</formula>
    </cfRule>
    <cfRule type="expression" dxfId="14715" priority="133618">
      <formula>IF($B28="Quoting",TRUE,FALSE)</formula>
    </cfRule>
    <cfRule type="expression" dxfId="14714" priority="133619">
      <formula>IF($B28="Quoting",TRUE,FALSE)</formula>
    </cfRule>
    <cfRule type="expression" dxfId="14713" priority="133620">
      <formula>IF($B28="Quoting",TRUE,FALSE)</formula>
    </cfRule>
    <cfRule type="expression" dxfId="14712" priority="133621">
      <formula>IF($B28="Quoting",TRUE,FALSE)</formula>
    </cfRule>
    <cfRule type="expression" dxfId="14711" priority="133622">
      <formula>IF($B28="Quoting",TRUE,FALSE)</formula>
    </cfRule>
    <cfRule type="expression" dxfId="14710" priority="133623">
      <formula>IF($B28="Quoting",TRUE,FALSE)</formula>
    </cfRule>
    <cfRule type="expression" dxfId="14709" priority="133624">
      <formula>IF($B28="Quoting",TRUE,FALSE)</formula>
    </cfRule>
    <cfRule type="expression" dxfId="14708" priority="133625">
      <formula>IF($B28="Quoting",TRUE,FALSE)</formula>
    </cfRule>
    <cfRule type="expression" dxfId="14707" priority="133626">
      <formula>IF($B28="Quoting",TRUE,FALSE)</formula>
    </cfRule>
    <cfRule type="expression" dxfId="14706" priority="133627">
      <formula>IF($B28="Quoting",TRUE,FALSE)</formula>
    </cfRule>
    <cfRule type="expression" dxfId="14705" priority="133628">
      <formula>IF($B28="Quoting",TRUE,FALSE)</formula>
    </cfRule>
    <cfRule type="expression" dxfId="14704" priority="133629">
      <formula>IF($B28="Quoting",TRUE,FALSE)</formula>
    </cfRule>
    <cfRule type="expression" dxfId="14703" priority="133630">
      <formula>IF($B28="Quoting",TRUE,FALSE)</formula>
    </cfRule>
    <cfRule type="expression" dxfId="14702" priority="133631">
      <formula>IF($B28="Quoting",TRUE,FALSE)</formula>
    </cfRule>
    <cfRule type="expression" dxfId="14701" priority="133632">
      <formula>IF($B28="Quoting",TRUE,FALSE)</formula>
    </cfRule>
    <cfRule type="expression" dxfId="14700" priority="133633">
      <formula>IF($B28="Quoting",TRUE,FALSE)</formula>
    </cfRule>
    <cfRule type="expression" dxfId="14699" priority="133634">
      <formula>IF($B28="Quoting",TRUE,FALSE)</formula>
    </cfRule>
    <cfRule type="expression" dxfId="14698" priority="133635">
      <formula>IF($B28="Quoting",TRUE,FALSE)</formula>
    </cfRule>
    <cfRule type="expression" dxfId="14697" priority="133636">
      <formula>IF($B28="Quoting",TRUE,FALSE)</formula>
    </cfRule>
    <cfRule type="expression" dxfId="14696" priority="133637">
      <formula>IF($B28="Quoting",TRUE,FALSE)</formula>
    </cfRule>
    <cfRule type="expression" dxfId="14695" priority="133638">
      <formula>IF($B28="Quoting",TRUE,FALSE)</formula>
    </cfRule>
    <cfRule type="expression" dxfId="14694" priority="133639">
      <formula>IF($B28="Quoting",TRUE,FALSE)</formula>
    </cfRule>
    <cfRule type="expression" dxfId="14693" priority="133640">
      <formula>IF($B28="Quoting",TRUE,FALSE)</formula>
    </cfRule>
    <cfRule type="expression" dxfId="14692" priority="133641">
      <formula>IF($B28="Quoting",TRUE,FALSE)</formula>
    </cfRule>
    <cfRule type="expression" dxfId="14691" priority="133642">
      <formula>IF($B28="Quoting",TRUE,FALSE)</formula>
    </cfRule>
    <cfRule type="expression" dxfId="14690" priority="133643">
      <formula>IF($B28="Quoting",TRUE,FALSE)</formula>
    </cfRule>
    <cfRule type="expression" dxfId="14689" priority="133644">
      <formula>IF($B28="Quoting",TRUE,FALSE)</formula>
    </cfRule>
    <cfRule type="expression" dxfId="14688" priority="133645">
      <formula>IF($B28="Quoting",TRUE,FALSE)</formula>
    </cfRule>
    <cfRule type="expression" dxfId="14687" priority="133646">
      <formula>IF($B28="Quoting",TRUE,FALSE)</formula>
    </cfRule>
    <cfRule type="expression" dxfId="14686" priority="133647">
      <formula>IF($B28="Quoting",TRUE,FALSE)</formula>
    </cfRule>
    <cfRule type="expression" dxfId="14685" priority="133648">
      <formula>IF($B28="Quoting",TRUE,FALSE)</formula>
    </cfRule>
    <cfRule type="expression" dxfId="14684" priority="133649">
      <formula>IF($B28="Quoting",TRUE,FALSE)</formula>
    </cfRule>
    <cfRule type="expression" dxfId="14683" priority="133650">
      <formula>IF($B28="Quoting",TRUE,FALSE)</formula>
    </cfRule>
    <cfRule type="expression" dxfId="14682" priority="133651">
      <formula>IF($B28="Quoting",TRUE,FALSE)</formula>
    </cfRule>
    <cfRule type="expression" dxfId="14681" priority="133652">
      <formula>IF($B28="Quoting",TRUE,FALSE)</formula>
    </cfRule>
    <cfRule type="expression" dxfId="14680" priority="133653">
      <formula>IF($B28="Quoting",TRUE,FALSE)</formula>
    </cfRule>
    <cfRule type="expression" dxfId="14679" priority="133654">
      <formula>IF($B28="Quoting",TRUE,FALSE)</formula>
    </cfRule>
    <cfRule type="expression" dxfId="14678" priority="133655">
      <formula>IF($B28="Quoting",TRUE,FALSE)</formula>
    </cfRule>
    <cfRule type="expression" dxfId="14677" priority="133656">
      <formula>IF($B28="Quoting",TRUE,FALSE)</formula>
    </cfRule>
    <cfRule type="expression" dxfId="14676" priority="133657">
      <formula>IF($B28="Quoting",TRUE,FALSE)</formula>
    </cfRule>
    <cfRule type="expression" dxfId="14675" priority="133658">
      <formula>IF($B28="Quoting",TRUE,FALSE)</formula>
    </cfRule>
    <cfRule type="expression" dxfId="14674" priority="133659">
      <formula>IF($B28="Quoting",TRUE,FALSE)</formula>
    </cfRule>
    <cfRule type="expression" dxfId="14673" priority="133660">
      <formula>IF($B28="Quoting",TRUE,FALSE)</formula>
    </cfRule>
    <cfRule type="expression" dxfId="14672" priority="133661">
      <formula>IF($B28="Quoting",TRUE,FALSE)</formula>
    </cfRule>
    <cfRule type="expression" dxfId="14671" priority="133662">
      <formula>IF($B28="Quoting",TRUE,FALSE)</formula>
    </cfRule>
    <cfRule type="expression" dxfId="14670" priority="133663">
      <formula>IF($B28="Quoting",TRUE,FALSE)</formula>
    </cfRule>
    <cfRule type="expression" dxfId="14669" priority="133664">
      <formula>IF($B28="Quoting",TRUE,FALSE)</formula>
    </cfRule>
    <cfRule type="expression" dxfId="14668" priority="133665">
      <formula>IF($B28="Quoting",TRUE,FALSE)</formula>
    </cfRule>
    <cfRule type="expression" dxfId="14667" priority="133666">
      <formula>IF($B28="Quoting",TRUE,FALSE)</formula>
    </cfRule>
    <cfRule type="expression" dxfId="14666" priority="133667">
      <formula>IF($B28="Quoting",TRUE,FALSE)</formula>
    </cfRule>
    <cfRule type="expression" dxfId="14665" priority="133668">
      <formula>IF($B28="Quoting",TRUE,FALSE)</formula>
    </cfRule>
    <cfRule type="expression" dxfId="14664" priority="133669">
      <formula>IF($B28="Quoting",TRUE,FALSE)</formula>
    </cfRule>
    <cfRule type="expression" dxfId="14663" priority="133670">
      <formula>IF($B28="Quoting",TRUE,FALSE)</formula>
    </cfRule>
    <cfRule type="expression" dxfId="14662" priority="133671">
      <formula>IF($B28="Quoting",TRUE,FALSE)</formula>
    </cfRule>
    <cfRule type="expression" dxfId="14661" priority="133672">
      <formula>IF($B28="Quoting",TRUE,FALSE)</formula>
    </cfRule>
    <cfRule type="expression" dxfId="14660" priority="133673">
      <formula>IF($B28="Quoting",TRUE,FALSE)</formula>
    </cfRule>
    <cfRule type="expression" dxfId="14659" priority="133674">
      <formula>IF($B28="Quoting",TRUE,FALSE)</formula>
    </cfRule>
    <cfRule type="expression" dxfId="14658" priority="133675">
      <formula>IF($B28="Quoting",TRUE,FALSE)</formula>
    </cfRule>
    <cfRule type="expression" dxfId="14657" priority="133676">
      <formula>IF($B28="Quoting",TRUE,FALSE)</formula>
    </cfRule>
    <cfRule type="expression" dxfId="14656" priority="133677">
      <formula>IF($B28="Quoting",TRUE,FALSE)</formula>
    </cfRule>
    <cfRule type="expression" dxfId="14655" priority="133678">
      <formula>IF($B28="Quoting",TRUE,FALSE)</formula>
    </cfRule>
    <cfRule type="expression" dxfId="14654" priority="133679">
      <formula>IF($B28="Quoting",TRUE,FALSE)</formula>
    </cfRule>
    <cfRule type="expression" dxfId="14653" priority="133680">
      <formula>IF($B28="Quoting",TRUE,FALSE)</formula>
    </cfRule>
    <cfRule type="expression" dxfId="14652" priority="133681">
      <formula>IF($B28="Quoting",TRUE,FALSE)</formula>
    </cfRule>
    <cfRule type="expression" dxfId="14651" priority="133682">
      <formula>IF($B28="Quoting",TRUE,FALSE)</formula>
    </cfRule>
    <cfRule type="expression" dxfId="14650" priority="133683">
      <formula>IF($B28="Quoting",TRUE,FALSE)</formula>
    </cfRule>
    <cfRule type="expression" dxfId="14649" priority="133684">
      <formula>IF($B28="Quoting",TRUE,FALSE)</formula>
    </cfRule>
    <cfRule type="expression" dxfId="14648" priority="133685">
      <formula>IF($B28="Quoting",TRUE,FALSE)</formula>
    </cfRule>
    <cfRule type="expression" dxfId="14647" priority="133686">
      <formula>IF($B28="Quoting",TRUE,FALSE)</formula>
    </cfRule>
    <cfRule type="expression" dxfId="14646" priority="133687">
      <formula>IF($B28="Quoting",TRUE,FALSE)</formula>
    </cfRule>
    <cfRule type="expression" dxfId="14645" priority="133688">
      <formula>IF($B28="Quoting",TRUE,FALSE)</formula>
    </cfRule>
    <cfRule type="expression" dxfId="14644" priority="133689">
      <formula>IF($B28="Quoting",TRUE,FALSE)</formula>
    </cfRule>
    <cfRule type="expression" dxfId="14643" priority="133690">
      <formula>IF($B28="Quoting",TRUE,FALSE)</formula>
    </cfRule>
    <cfRule type="expression" dxfId="14642" priority="133691">
      <formula>IF($B28="Quoting",TRUE,FALSE)</formula>
    </cfRule>
    <cfRule type="expression" dxfId="14641" priority="133692">
      <formula>IF($B28="Quoting",TRUE,FALSE)</formula>
    </cfRule>
    <cfRule type="expression" dxfId="14640" priority="133693">
      <formula>IF($B28="Quoting",TRUE,FALSE)</formula>
    </cfRule>
    <cfRule type="expression" dxfId="14639" priority="133694">
      <formula>IF($B28="Quoting",TRUE,FALSE)</formula>
    </cfRule>
    <cfRule type="expression" dxfId="14638" priority="133695">
      <formula>IF($B28="Quoting",TRUE,FALSE)</formula>
    </cfRule>
    <cfRule type="expression" dxfId="14637" priority="133696">
      <formula>IF($B28="Quoting",TRUE,FALSE)</formula>
    </cfRule>
    <cfRule type="expression" dxfId="14636" priority="133697">
      <formula>IF($B28="Quoting",TRUE,FALSE)</formula>
    </cfRule>
    <cfRule type="expression" dxfId="14635" priority="133698">
      <formula>IF($B28="Quoting",TRUE,FALSE)</formula>
    </cfRule>
    <cfRule type="expression" dxfId="14634" priority="133699">
      <formula>IF($B28="Quoting",TRUE,FALSE)</formula>
    </cfRule>
    <cfRule type="expression" dxfId="14633" priority="133700">
      <formula>IF($B28="Quoting",TRUE,FALSE)</formula>
    </cfRule>
    <cfRule type="expression" dxfId="14632" priority="133701">
      <formula>IF($B28="Quoting",TRUE,FALSE)</formula>
    </cfRule>
    <cfRule type="expression" dxfId="14631" priority="133702">
      <formula>IF($B28="Quoting",TRUE,FALSE)</formula>
    </cfRule>
    <cfRule type="expression" dxfId="14630" priority="133703">
      <formula>IF($B28="Quoting",TRUE,FALSE)</formula>
    </cfRule>
    <cfRule type="expression" dxfId="14629" priority="133704">
      <formula>IF($B28="Quoting",TRUE,FALSE)</formula>
    </cfRule>
    <cfRule type="expression" dxfId="14628" priority="133705">
      <formula>IF($B28="Quoting",TRUE,FALSE)</formula>
    </cfRule>
    <cfRule type="expression" dxfId="14627" priority="133706">
      <formula>IF($B28="Quoting",TRUE,FALSE)</formula>
    </cfRule>
    <cfRule type="expression" dxfId="14626" priority="133707">
      <formula>IF($B28="Quoting",TRUE,FALSE)</formula>
    </cfRule>
    <cfRule type="expression" dxfId="14625" priority="133708">
      <formula>IF($B28="Quoting",TRUE,FALSE)</formula>
    </cfRule>
    <cfRule type="expression" dxfId="14624" priority="133709">
      <formula>IF($B28="Quoting",TRUE,FALSE)</formula>
    </cfRule>
    <cfRule type="expression" dxfId="14623" priority="133710">
      <formula>IF($B28="Quoting",TRUE,FALSE)</formula>
    </cfRule>
    <cfRule type="expression" dxfId="14622" priority="133711">
      <formula>IF($B28="Quoting",TRUE,FALSE)</formula>
    </cfRule>
    <cfRule type="expression" dxfId="14621" priority="133712">
      <formula>IF($B28="Quoting",TRUE,FALSE)</formula>
    </cfRule>
    <cfRule type="expression" dxfId="14620" priority="133713">
      <formula>IF($B28="Quoting",TRUE,FALSE)</formula>
    </cfRule>
    <cfRule type="expression" dxfId="14619" priority="133714">
      <formula>IF($B28="Quoting",TRUE,FALSE)</formula>
    </cfRule>
    <cfRule type="expression" dxfId="14618" priority="133715">
      <formula>IF($B28="Quoting",TRUE,FALSE)</formula>
    </cfRule>
    <cfRule type="expression" dxfId="14617" priority="133716">
      <formula>IF($B28="Quoting",TRUE,FALSE)</formula>
    </cfRule>
    <cfRule type="expression" dxfId="14616" priority="133717">
      <formula>IF($B28="Quoting",TRUE,FALSE)</formula>
    </cfRule>
    <cfRule type="expression" dxfId="14615" priority="133718">
      <formula>IF($B28="Quoting",TRUE,FALSE)</formula>
    </cfRule>
    <cfRule type="expression" dxfId="14614" priority="133719">
      <formula>IF($B28="Quoting",TRUE,FALSE)</formula>
    </cfRule>
    <cfRule type="expression" dxfId="14613" priority="133720">
      <formula>IF($B28="Quoting",TRUE,FALSE)</formula>
    </cfRule>
    <cfRule type="expression" dxfId="14612" priority="133721">
      <formula>IF($B28="Quoting",TRUE,FALSE)</formula>
    </cfRule>
    <cfRule type="expression" dxfId="14611" priority="133722">
      <formula>IF($B28="Quoting",TRUE,FALSE)</formula>
    </cfRule>
    <cfRule type="expression" dxfId="14610" priority="133723">
      <formula>IF($B28="Quoting",TRUE,FALSE)</formula>
    </cfRule>
    <cfRule type="expression" dxfId="14609" priority="133724">
      <formula>IF($B28="Quoting",TRUE,FALSE)</formula>
    </cfRule>
    <cfRule type="expression" dxfId="14608" priority="133725">
      <formula>IF($B28="Quoting",TRUE,FALSE)</formula>
    </cfRule>
    <cfRule type="expression" dxfId="14607" priority="133726">
      <formula>IF($B28="Quoting",TRUE,FALSE)</formula>
    </cfRule>
    <cfRule type="expression" dxfId="14606" priority="133727">
      <formula>IF($B28="Quoting",TRUE,FALSE)</formula>
    </cfRule>
    <cfRule type="expression" dxfId="14605" priority="133728">
      <formula>IF($B28="Quoting",TRUE,FALSE)</formula>
    </cfRule>
    <cfRule type="expression" dxfId="14604" priority="133729">
      <formula>IF($B28="Quoting",TRUE,FALSE)</formula>
    </cfRule>
    <cfRule type="expression" dxfId="14603" priority="133730">
      <formula>IF($B28="Quoting",TRUE,FALSE)</formula>
    </cfRule>
    <cfRule type="expression" dxfId="14602" priority="133731">
      <formula>IF($B28="Quoting",TRUE,FALSE)</formula>
    </cfRule>
    <cfRule type="expression" dxfId="14601" priority="133732">
      <formula>IF($B28="Quoting",TRUE,FALSE)</formula>
    </cfRule>
    <cfRule type="expression" dxfId="14600" priority="133733">
      <formula>IF($B28="Quoting",TRUE,FALSE)</formula>
    </cfRule>
    <cfRule type="expression" dxfId="14599" priority="133734">
      <formula>IF($B28="Quoting",TRUE,FALSE)</formula>
    </cfRule>
    <cfRule type="expression" dxfId="14598" priority="133735">
      <formula>IF($B28="Quoting",TRUE,FALSE)</formula>
    </cfRule>
    <cfRule type="expression" dxfId="14597" priority="133736">
      <formula>IF($B28="Quoting",TRUE,FALSE)</formula>
    </cfRule>
    <cfRule type="expression" dxfId="14596" priority="133737">
      <formula>IF($B28="Quoting",TRUE,FALSE)</formula>
    </cfRule>
    <cfRule type="expression" dxfId="14595" priority="133738">
      <formula>IF($B28="Quoting",TRUE,FALSE)</formula>
    </cfRule>
    <cfRule type="expression" dxfId="14594" priority="133739">
      <formula>IF($B28="Quoting",TRUE,FALSE)</formula>
    </cfRule>
    <cfRule type="expression" dxfId="14593" priority="133740">
      <formula>IF($B28="Quoting",TRUE,FALSE)</formula>
    </cfRule>
    <cfRule type="expression" dxfId="14592" priority="133741">
      <formula>IF($B28="Quoting",TRUE,FALSE)</formula>
    </cfRule>
    <cfRule type="expression" dxfId="14591" priority="133742">
      <formula>IF($B28="Quoting",TRUE,FALSE)</formula>
    </cfRule>
    <cfRule type="expression" dxfId="14590" priority="133743">
      <formula>IF($B28="Quoting",TRUE,FALSE)</formula>
    </cfRule>
    <cfRule type="expression" dxfId="14589" priority="133744">
      <formula>IF($B28="Quoting",TRUE,FALSE)</formula>
    </cfRule>
    <cfRule type="expression" dxfId="14588" priority="133745">
      <formula>IF($B28="Quoting",TRUE,FALSE)</formula>
    </cfRule>
    <cfRule type="expression" dxfId="14587" priority="133746">
      <formula>IF($B28="Quoting",TRUE,FALSE)</formula>
    </cfRule>
    <cfRule type="expression" dxfId="14586" priority="133747">
      <formula>IF($B28="Quoting",TRUE,FALSE)</formula>
    </cfRule>
    <cfRule type="expression" dxfId="14585" priority="133748">
      <formula>IF($B28="Quoting",TRUE,FALSE)</formula>
    </cfRule>
    <cfRule type="expression" dxfId="14584" priority="133749">
      <formula>IF($B28="Quoting",TRUE,FALSE)</formula>
    </cfRule>
    <cfRule type="expression" dxfId="14583" priority="133750">
      <formula>IF($B28="Quoting",TRUE,FALSE)</formula>
    </cfRule>
    <cfRule type="expression" dxfId="14582" priority="133751">
      <formula>IF($B28="Quoting",TRUE,FALSE)</formula>
    </cfRule>
    <cfRule type="expression" dxfId="14581" priority="133752">
      <formula>IF($B28="Quoting",TRUE,FALSE)</formula>
    </cfRule>
    <cfRule type="expression" dxfId="14580" priority="136164">
      <formula>IF($B28="Quoting",TRUE,FALSE)</formula>
    </cfRule>
    <cfRule type="expression" dxfId="14579" priority="136165">
      <formula>IF($B28="Quoting",TRUE,FALSE)</formula>
    </cfRule>
    <cfRule type="expression" dxfId="14578" priority="136166">
      <formula>IF($B28="Quoting",TRUE,FALSE)</formula>
    </cfRule>
    <cfRule type="expression" dxfId="14577" priority="136167">
      <formula>IF($B28="Quoting",TRUE,FALSE)</formula>
    </cfRule>
    <cfRule type="expression" dxfId="14576" priority="136168">
      <formula>IF($B28="Quoting",TRUE,FALSE)</formula>
    </cfRule>
    <cfRule type="expression" dxfId="14575" priority="136169">
      <formula>IF($B28="Quoting",TRUE,FALSE)</formula>
    </cfRule>
    <cfRule type="expression" dxfId="14574" priority="136170">
      <formula>IF($B28="Quoting",TRUE,FALSE)</formula>
    </cfRule>
    <cfRule type="expression" dxfId="14573" priority="136171">
      <formula>IF($B28="Quoting",TRUE,FALSE)</formula>
    </cfRule>
    <cfRule type="expression" dxfId="14572" priority="136172">
      <formula>IF($B28="Quoting",TRUE,FALSE)</formula>
    </cfRule>
    <cfRule type="expression" dxfId="14571" priority="136173">
      <formula>IF($B28="Quoting",TRUE,FALSE)</formula>
    </cfRule>
    <cfRule type="expression" dxfId="14570" priority="136174">
      <formula>IF($B28="Quoting",TRUE,FALSE)</formula>
    </cfRule>
    <cfRule type="expression" dxfId="14569" priority="136175">
      <formula>IF($B28="Quoting",TRUE,FALSE)</formula>
    </cfRule>
    <cfRule type="expression" dxfId="14568" priority="136176">
      <formula>IF($B28="Quoting",TRUE,FALSE)</formula>
    </cfRule>
    <cfRule type="expression" dxfId="14567" priority="136177">
      <formula>IF($B28="Quoting",TRUE,FALSE)</formula>
    </cfRule>
    <cfRule type="expression" dxfId="14566" priority="136178">
      <formula>IF($B28="Quoting",TRUE,FALSE)</formula>
    </cfRule>
    <cfRule type="expression" dxfId="14565" priority="136179">
      <formula>IF($B28="Quoting",TRUE,FALSE)</formula>
    </cfRule>
    <cfRule type="expression" dxfId="14564" priority="136180">
      <formula>IF($B28="Quoting",TRUE,FALSE)</formula>
    </cfRule>
    <cfRule type="expression" dxfId="14563" priority="136181">
      <formula>IF($B28="Quoting",TRUE,FALSE)</formula>
    </cfRule>
    <cfRule type="expression" dxfId="14562" priority="136182">
      <formula>IF($B28="Quoting",TRUE,FALSE)</formula>
    </cfRule>
    <cfRule type="expression" dxfId="14561" priority="136183">
      <formula>IF($B28="Quoting",TRUE,FALSE)</formula>
    </cfRule>
    <cfRule type="expression" dxfId="14560" priority="136184">
      <formula>IF($B28="Quoting",TRUE,FALSE)</formula>
    </cfRule>
    <cfRule type="expression" dxfId="14559" priority="136185">
      <formula>IF($B28="Quoting",TRUE,FALSE)</formula>
    </cfRule>
    <cfRule type="expression" dxfId="14558" priority="136186">
      <formula>IF($B28="Quoting",TRUE,FALSE)</formula>
    </cfRule>
    <cfRule type="expression" dxfId="14557" priority="136187">
      <formula>IF($B28="Quoting",TRUE,FALSE)</formula>
    </cfRule>
    <cfRule type="expression" dxfId="14556" priority="136188">
      <formula>IF($B28="Quoting",TRUE,FALSE)</formula>
    </cfRule>
    <cfRule type="expression" dxfId="14555" priority="136189">
      <formula>IF($B28="Quoting",TRUE,FALSE)</formula>
    </cfRule>
    <cfRule type="expression" dxfId="14554" priority="136190">
      <formula>IF($B28="Quoting",TRUE,FALSE)</formula>
    </cfRule>
    <cfRule type="expression" dxfId="14553" priority="136191">
      <formula>IF($B28="Quoting",TRUE,FALSE)</formula>
    </cfRule>
    <cfRule type="expression" dxfId="14552" priority="136192">
      <formula>IF($B28="Quoting",TRUE,FALSE)</formula>
    </cfRule>
    <cfRule type="expression" dxfId="14551" priority="136193">
      <formula>IF($B28="Quoting",TRUE,FALSE)</formula>
    </cfRule>
    <cfRule type="expression" dxfId="14550" priority="136194">
      <formula>IF($B28="Quoting",TRUE,FALSE)</formula>
    </cfRule>
    <cfRule type="expression" dxfId="14549" priority="136195">
      <formula>IF($B28="Quoting",TRUE,FALSE)</formula>
    </cfRule>
    <cfRule type="expression" dxfId="14548" priority="136196">
      <formula>IF($B28="Quoting",TRUE,FALSE)</formula>
    </cfRule>
    <cfRule type="expression" dxfId="14547" priority="136197">
      <formula>IF($B28="Quoting",TRUE,FALSE)</formula>
    </cfRule>
    <cfRule type="expression" dxfId="14546" priority="136198">
      <formula>IF($B28="Quoting",TRUE,FALSE)</formula>
    </cfRule>
    <cfRule type="expression" dxfId="14545" priority="136199">
      <formula>IF($B28="Quoting",TRUE,FALSE)</formula>
    </cfRule>
    <cfRule type="expression" dxfId="14544" priority="136200">
      <formula>IF($B28="Quoting",TRUE,FALSE)</formula>
    </cfRule>
    <cfRule type="expression" dxfId="14543" priority="136201">
      <formula>IF($B28="Quoting",TRUE,FALSE)</formula>
    </cfRule>
    <cfRule type="expression" dxfId="14542" priority="136202">
      <formula>IF($B28="Quoting",TRUE,FALSE)</formula>
    </cfRule>
    <cfRule type="expression" dxfId="14541" priority="136203">
      <formula>IF($B28="Quoting",TRUE,FALSE)</formula>
    </cfRule>
    <cfRule type="expression" dxfId="14540" priority="136204">
      <formula>IF($B28="Quoting",TRUE,FALSE)</formula>
    </cfRule>
    <cfRule type="expression" dxfId="14539" priority="136205">
      <formula>IF($B28="Quoting",TRUE,FALSE)</formula>
    </cfRule>
    <cfRule type="expression" dxfId="14538" priority="136206">
      <formula>IF($B28="Quoting",TRUE,FALSE)</formula>
    </cfRule>
    <cfRule type="expression" dxfId="14537" priority="136207">
      <formula>IF($B28="Quoting",TRUE,FALSE)</formula>
    </cfRule>
    <cfRule type="expression" dxfId="14536" priority="136208">
      <formula>IF($B28="Quoting",TRUE,FALSE)</formula>
    </cfRule>
    <cfRule type="expression" dxfId="14535" priority="136209">
      <formula>IF($B28="Quoting",TRUE,FALSE)</formula>
    </cfRule>
    <cfRule type="expression" dxfId="14534" priority="136210">
      <formula>IF($B28="Quoting",TRUE,FALSE)</formula>
    </cfRule>
    <cfRule type="expression" dxfId="14533" priority="136211">
      <formula>IF($B28="Quoting",TRUE,FALSE)</formula>
    </cfRule>
    <cfRule type="expression" dxfId="14532" priority="136212">
      <formula>IF($B28="Quoting",TRUE,FALSE)</formula>
    </cfRule>
    <cfRule type="expression" dxfId="14531" priority="136213">
      <formula>IF($B28="Quoting",TRUE,FALSE)</formula>
    </cfRule>
    <cfRule type="expression" dxfId="14530" priority="136214">
      <formula>IF($B28="Quoting",TRUE,FALSE)</formula>
    </cfRule>
    <cfRule type="expression" dxfId="14529" priority="136215">
      <formula>IF($B28="Quoting",TRUE,FALSE)</formula>
    </cfRule>
    <cfRule type="expression" dxfId="14528" priority="136216">
      <formula>IF($B28="Quoting",TRUE,FALSE)</formula>
    </cfRule>
    <cfRule type="expression" dxfId="14527" priority="136217">
      <formula>IF($B28="Quoting",TRUE,FALSE)</formula>
    </cfRule>
    <cfRule type="expression" dxfId="14526" priority="136218">
      <formula>IF($B28="Quoting",TRUE,FALSE)</formula>
    </cfRule>
    <cfRule type="expression" dxfId="14525" priority="136219">
      <formula>IF($B28="Quoting",TRUE,FALSE)</formula>
    </cfRule>
    <cfRule type="expression" dxfId="14524" priority="136220">
      <formula>IF($B28="Quoting",TRUE,FALSE)</formula>
    </cfRule>
    <cfRule type="expression" dxfId="14523" priority="136221">
      <formula>IF($B28="Quoting",TRUE,FALSE)</formula>
    </cfRule>
    <cfRule type="expression" dxfId="14522" priority="136222">
      <formula>IF($B28="Quoting",TRUE,FALSE)</formula>
    </cfRule>
    <cfRule type="expression" dxfId="14521" priority="136223">
      <formula>IF($B28="Quoting",TRUE,FALSE)</formula>
    </cfRule>
    <cfRule type="expression" dxfId="14520" priority="136224">
      <formula>IF($B28="Quoting",TRUE,FALSE)</formula>
    </cfRule>
    <cfRule type="expression" dxfId="14519" priority="136225">
      <formula>IF($B28="Quoting",TRUE,FALSE)</formula>
    </cfRule>
    <cfRule type="expression" dxfId="14518" priority="136226">
      <formula>IF($B28="Quoting",TRUE,FALSE)</formula>
    </cfRule>
    <cfRule type="expression" dxfId="14517" priority="136227">
      <formula>IF($B28="Quoting",TRUE,FALSE)</formula>
    </cfRule>
    <cfRule type="expression" dxfId="14516" priority="136228">
      <formula>IF($B28="Quoting",TRUE,FALSE)</formula>
    </cfRule>
    <cfRule type="expression" dxfId="14515" priority="136229">
      <formula>IF($B28="Quoting",TRUE,FALSE)</formula>
    </cfRule>
    <cfRule type="expression" dxfId="14514" priority="136230">
      <formula>IF($B28="Quoting",TRUE,FALSE)</formula>
    </cfRule>
    <cfRule type="expression" dxfId="14513" priority="136231">
      <formula>IF($B28="Quoting",TRUE,FALSE)</formula>
    </cfRule>
    <cfRule type="expression" dxfId="14512" priority="136232">
      <formula>IF($B28="Quoting",TRUE,FALSE)</formula>
    </cfRule>
    <cfRule type="expression" dxfId="14511" priority="136233">
      <formula>IF($B28="Quoting",TRUE,FALSE)</formula>
    </cfRule>
    <cfRule type="expression" dxfId="14510" priority="136234">
      <formula>IF($B28="Quoting",TRUE,FALSE)</formula>
    </cfRule>
    <cfRule type="expression" dxfId="14509" priority="136235">
      <formula>IF($B28="Quoting",TRUE,FALSE)</formula>
    </cfRule>
    <cfRule type="expression" dxfId="14508" priority="136236">
      <formula>IF($B28="Quoting",TRUE,FALSE)</formula>
    </cfRule>
    <cfRule type="expression" dxfId="14507" priority="136237">
      <formula>IF($B28="Quoting",TRUE,FALSE)</formula>
    </cfRule>
    <cfRule type="expression" dxfId="14506" priority="136238">
      <formula>IF($B28="Quoting",TRUE,FALSE)</formula>
    </cfRule>
    <cfRule type="expression" dxfId="14505" priority="136239">
      <formula>IF($B28="Quoting",TRUE,FALSE)</formula>
    </cfRule>
    <cfRule type="expression" dxfId="14504" priority="136240">
      <formula>IF($B28="Quoting",TRUE,FALSE)</formula>
    </cfRule>
    <cfRule type="expression" dxfId="14503" priority="136241">
      <formula>IF($B28="Quoting",TRUE,FALSE)</formula>
    </cfRule>
    <cfRule type="expression" dxfId="14502" priority="136242">
      <formula>IF($B28="Quoting",TRUE,FALSE)</formula>
    </cfRule>
    <cfRule type="expression" dxfId="14501" priority="136243">
      <formula>IF($B28="Quoting",TRUE,FALSE)</formula>
    </cfRule>
    <cfRule type="expression" dxfId="14500" priority="136244">
      <formula>IF($B28="Quoting",TRUE,FALSE)</formula>
    </cfRule>
    <cfRule type="expression" dxfId="14499" priority="136245">
      <formula>IF($B28="Quoting",TRUE,FALSE)</formula>
    </cfRule>
    <cfRule type="expression" dxfId="14498" priority="136246">
      <formula>IF($B28="Quoting",TRUE,FALSE)</formula>
    </cfRule>
    <cfRule type="expression" dxfId="14497" priority="136247">
      <formula>IF($B28="Quoting",TRUE,FALSE)</formula>
    </cfRule>
    <cfRule type="expression" dxfId="14496" priority="136248">
      <formula>IF($B28="Quoting",TRUE,FALSE)</formula>
    </cfRule>
    <cfRule type="expression" dxfId="14495" priority="136249">
      <formula>IF($B28="Quoting",TRUE,FALSE)</formula>
    </cfRule>
    <cfRule type="expression" dxfId="14494" priority="136250">
      <formula>IF($B28="Quoting",TRUE,FALSE)</formula>
    </cfRule>
    <cfRule type="expression" dxfId="14493" priority="136251">
      <formula>IF($B28="Quoting",TRUE,FALSE)</formula>
    </cfRule>
    <cfRule type="expression" dxfId="14492" priority="136252">
      <formula>IF($B28="Quoting",TRUE,FALSE)</formula>
    </cfRule>
    <cfRule type="expression" dxfId="14491" priority="136253">
      <formula>IF($B28="Quoting",TRUE,FALSE)</formula>
    </cfRule>
    <cfRule type="expression" dxfId="14490" priority="136254">
      <formula>IF($B28="Quoting",TRUE,FALSE)</formula>
    </cfRule>
    <cfRule type="expression" dxfId="14489" priority="136255">
      <formula>IF($B28="Quoting",TRUE,FALSE)</formula>
    </cfRule>
    <cfRule type="expression" dxfId="14488" priority="136256">
      <formula>IF($B28="Quoting",TRUE,FALSE)</formula>
    </cfRule>
    <cfRule type="expression" dxfId="14487" priority="136257">
      <formula>IF($B28="Quoting",TRUE,FALSE)</formula>
    </cfRule>
    <cfRule type="expression" dxfId="14486" priority="136258">
      <formula>IF($B28="Quoting",TRUE,FALSE)</formula>
    </cfRule>
    <cfRule type="expression" dxfId="14485" priority="136259">
      <formula>IF($B28="Quoting",TRUE,FALSE)</formula>
    </cfRule>
    <cfRule type="expression" dxfId="14484" priority="136260">
      <formula>IF($B28="Quoting",TRUE,FALSE)</formula>
    </cfRule>
    <cfRule type="expression" dxfId="14483" priority="136261">
      <formula>IF($B28="Quoting",TRUE,FALSE)</formula>
    </cfRule>
    <cfRule type="expression" dxfId="14482" priority="136262">
      <formula>IF($B28="Quoting",TRUE,FALSE)</formula>
    </cfRule>
    <cfRule type="expression" dxfId="14481" priority="136263">
      <formula>IF($B28="Quoting",TRUE,FALSE)</formula>
    </cfRule>
    <cfRule type="expression" dxfId="14480" priority="136264">
      <formula>IF($B28="Quoting",TRUE,FALSE)</formula>
    </cfRule>
    <cfRule type="expression" dxfId="14479" priority="136265">
      <formula>IF($B28="Quoting",TRUE,FALSE)</formula>
    </cfRule>
    <cfRule type="expression" dxfId="14478" priority="136266">
      <formula>IF($B28="Quoting",TRUE,FALSE)</formula>
    </cfRule>
    <cfRule type="expression" dxfId="14477" priority="136267">
      <formula>IF($B28="Quoting",TRUE,FALSE)</formula>
    </cfRule>
    <cfRule type="expression" dxfId="14476" priority="136268">
      <formula>IF($B28="Quoting",TRUE,FALSE)</formula>
    </cfRule>
    <cfRule type="expression" dxfId="14475" priority="136269">
      <formula>IF($B28="Quoting",TRUE,FALSE)</formula>
    </cfRule>
    <cfRule type="expression" dxfId="14474" priority="136270">
      <formula>IF($B28="Quoting",TRUE,FALSE)</formula>
    </cfRule>
    <cfRule type="expression" dxfId="14473" priority="136271">
      <formula>IF($B28="Quoting",TRUE,FALSE)</formula>
    </cfRule>
    <cfRule type="expression" dxfId="14472" priority="136272">
      <formula>IF($B28="Quoting",TRUE,FALSE)</formula>
    </cfRule>
    <cfRule type="expression" dxfId="14471" priority="136273">
      <formula>IF($B28="Quoting",TRUE,FALSE)</formula>
    </cfRule>
    <cfRule type="expression" dxfId="14470" priority="136274">
      <formula>IF($B28="Quoting",TRUE,FALSE)</formula>
    </cfRule>
    <cfRule type="expression" dxfId="14469" priority="136275">
      <formula>IF($B28="Quoting",TRUE,FALSE)</formula>
    </cfRule>
    <cfRule type="expression" dxfId="14468" priority="136276">
      <formula>IF($B28="Quoting",TRUE,FALSE)</formula>
    </cfRule>
    <cfRule type="expression" dxfId="14467" priority="136277">
      <formula>IF($B28="Quoting",TRUE,FALSE)</formula>
    </cfRule>
    <cfRule type="expression" dxfId="14466" priority="136278">
      <formula>IF($B28="Quoting",TRUE,FALSE)</formula>
    </cfRule>
    <cfRule type="expression" dxfId="14465" priority="136279">
      <formula>IF($B28="Quoting",TRUE,FALSE)</formula>
    </cfRule>
    <cfRule type="expression" dxfId="14464" priority="136280">
      <formula>IF($B28="Quoting",TRUE,FALSE)</formula>
    </cfRule>
    <cfRule type="expression" dxfId="14463" priority="136281">
      <formula>IF($B28="Quoting",TRUE,FALSE)</formula>
    </cfRule>
    <cfRule type="expression" dxfId="14462" priority="136282">
      <formula>IF($B28="Quoting",TRUE,FALSE)</formula>
    </cfRule>
    <cfRule type="expression" dxfId="14461" priority="136283">
      <formula>IF($B28="Quoting",TRUE,FALSE)</formula>
    </cfRule>
    <cfRule type="expression" dxfId="14460" priority="136284">
      <formula>IF($B28="Quoting",TRUE,FALSE)</formula>
    </cfRule>
    <cfRule type="expression" dxfId="14459" priority="136285">
      <formula>IF($B28="Quoting",TRUE,FALSE)</formula>
    </cfRule>
    <cfRule type="expression" dxfId="14458" priority="136286">
      <formula>IF($B28="Quoting",TRUE,FALSE)</formula>
    </cfRule>
    <cfRule type="expression" dxfId="14457" priority="136287">
      <formula>IF($B28="Quoting",TRUE,FALSE)</formula>
    </cfRule>
    <cfRule type="expression" dxfId="14456" priority="136288">
      <formula>IF($B28="Quoting",TRUE,FALSE)</formula>
    </cfRule>
    <cfRule type="expression" dxfId="14455" priority="136289">
      <formula>IF($B28="Quoting",TRUE,FALSE)</formula>
    </cfRule>
    <cfRule type="expression" dxfId="14454" priority="136290">
      <formula>IF($B28="Quoting",TRUE,FALSE)</formula>
    </cfRule>
    <cfRule type="expression" dxfId="14453" priority="136291">
      <formula>IF($B28="Quoting",TRUE,FALSE)</formula>
    </cfRule>
    <cfRule type="expression" dxfId="14452" priority="136292">
      <formula>IF($B28="Quoting",TRUE,FALSE)</formula>
    </cfRule>
    <cfRule type="expression" dxfId="14451" priority="136293">
      <formula>IF($B28="Quoting",TRUE,FALSE)</formula>
    </cfRule>
    <cfRule type="expression" dxfId="14450" priority="136294">
      <formula>IF($B28="Quoting",TRUE,FALSE)</formula>
    </cfRule>
    <cfRule type="expression" dxfId="14449" priority="136295">
      <formula>IF($B28="Quoting",TRUE,FALSE)</formula>
    </cfRule>
    <cfRule type="expression" dxfId="14448" priority="136296">
      <formula>IF($B28="Quoting",TRUE,FALSE)</formula>
    </cfRule>
    <cfRule type="expression" dxfId="14447" priority="136297">
      <formula>IF($B28="Quoting",TRUE,FALSE)</formula>
    </cfRule>
    <cfRule type="expression" dxfId="14446" priority="136298">
      <formula>IF($B28="Quoting",TRUE,FALSE)</formula>
    </cfRule>
    <cfRule type="expression" dxfId="14445" priority="136299">
      <formula>IF($B28="Quoting",TRUE,FALSE)</formula>
    </cfRule>
    <cfRule type="expression" dxfId="14444" priority="136300">
      <formula>IF($B28="Quoting",TRUE,FALSE)</formula>
    </cfRule>
    <cfRule type="expression" dxfId="14443" priority="136301">
      <formula>IF($B28="Quoting",TRUE,FALSE)</formula>
    </cfRule>
    <cfRule type="expression" dxfId="14442" priority="136302">
      <formula>IF($B28="Quoting",TRUE,FALSE)</formula>
    </cfRule>
    <cfRule type="expression" dxfId="14441" priority="136303">
      <formula>IF($B28="Quoting",TRUE,FALSE)</formula>
    </cfRule>
    <cfRule type="expression" dxfId="14440" priority="136304">
      <formula>IF($B28="Quoting",TRUE,FALSE)</formula>
    </cfRule>
    <cfRule type="expression" dxfId="14439" priority="136305">
      <formula>IF($B28="Quoting",TRUE,FALSE)</formula>
    </cfRule>
    <cfRule type="expression" dxfId="14438" priority="136306">
      <formula>IF($B28="Quoting",TRUE,FALSE)</formula>
    </cfRule>
    <cfRule type="expression" dxfId="14437" priority="136307">
      <formula>IF($B28="Quoting",TRUE,FALSE)</formula>
    </cfRule>
    <cfRule type="expression" dxfId="14436" priority="136308">
      <formula>IF($B28="Quoting",TRUE,FALSE)</formula>
    </cfRule>
    <cfRule type="expression" dxfId="14435" priority="136309">
      <formula>IF($B28="Quoting",TRUE,FALSE)</formula>
    </cfRule>
    <cfRule type="expression" dxfId="14434" priority="136310">
      <formula>IF($B28="Quoting",TRUE,FALSE)</formula>
    </cfRule>
    <cfRule type="expression" dxfId="14433" priority="136311">
      <formula>IF($B28="Quoting",TRUE,FALSE)</formula>
    </cfRule>
    <cfRule type="expression" dxfId="14432" priority="136312">
      <formula>IF($B28="Quoting",TRUE,FALSE)</formula>
    </cfRule>
    <cfRule type="expression" dxfId="14431" priority="136313">
      <formula>IF($B28="Quoting",TRUE,FALSE)</formula>
    </cfRule>
    <cfRule type="expression" dxfId="14430" priority="136314">
      <formula>IF($B28="Quoting",TRUE,FALSE)</formula>
    </cfRule>
    <cfRule type="expression" dxfId="14429" priority="136315">
      <formula>IF($B28="Quoting",TRUE,FALSE)</formula>
    </cfRule>
    <cfRule type="expression" dxfId="14428" priority="136316">
      <formula>IF($B28="Quoting",TRUE,FALSE)</formula>
    </cfRule>
    <cfRule type="expression" dxfId="14427" priority="136317">
      <formula>IF($B28="Quoting",TRUE,FALSE)</formula>
    </cfRule>
    <cfRule type="expression" dxfId="14426" priority="136318">
      <formula>IF($B28="Quoting",TRUE,FALSE)</formula>
    </cfRule>
    <cfRule type="expression" dxfId="14425" priority="136319">
      <formula>IF($B28="Quoting",TRUE,FALSE)</formula>
    </cfRule>
    <cfRule type="expression" dxfId="14424" priority="136320">
      <formula>IF($B28="Quoting",TRUE,FALSE)</formula>
    </cfRule>
    <cfRule type="expression" dxfId="14423" priority="136321">
      <formula>IF($B28="Quoting",TRUE,FALSE)</formula>
    </cfRule>
    <cfRule type="expression" dxfId="14422" priority="136322">
      <formula>IF($B28="Quoting",TRUE,FALSE)</formula>
    </cfRule>
    <cfRule type="expression" dxfId="14421" priority="136323">
      <formula>IF($B28="Quoting",TRUE,FALSE)</formula>
    </cfRule>
    <cfRule type="expression" dxfId="14420" priority="136324">
      <formula>IF($B28="Quoting",TRUE,FALSE)</formula>
    </cfRule>
    <cfRule type="expression" dxfId="14419" priority="136325">
      <formula>IF($B28="Quoting",TRUE,FALSE)</formula>
    </cfRule>
    <cfRule type="expression" dxfId="14418" priority="136326">
      <formula>IF($B28="Quoting",TRUE,FALSE)</formula>
    </cfRule>
    <cfRule type="expression" dxfId="14417" priority="136327">
      <formula>IF($B28="Quoting",TRUE,FALSE)</formula>
    </cfRule>
    <cfRule type="expression" dxfId="14416" priority="136328">
      <formula>IF($B28="Quoting",TRUE,FALSE)</formula>
    </cfRule>
    <cfRule type="expression" dxfId="14415" priority="136329">
      <formula>IF($B28="Quoting",TRUE,FALSE)</formula>
    </cfRule>
    <cfRule type="expression" dxfId="14414" priority="136330">
      <formula>IF($B28="Quoting",TRUE,FALSE)</formula>
    </cfRule>
    <cfRule type="expression" dxfId="14413" priority="136331">
      <formula>IF($B28="Quoting",TRUE,FALSE)</formula>
    </cfRule>
    <cfRule type="expression" dxfId="14412" priority="136332">
      <formula>IF($B28="Quoting",TRUE,FALSE)</formula>
    </cfRule>
    <cfRule type="expression" dxfId="14411" priority="136333">
      <formula>IF($B28="Quoting",TRUE,FALSE)</formula>
    </cfRule>
    <cfRule type="expression" dxfId="14410" priority="136334">
      <formula>IF($B28="Quoting",TRUE,FALSE)</formula>
    </cfRule>
    <cfRule type="expression" dxfId="14409" priority="136335">
      <formula>IF($B28="Quoting",TRUE,FALSE)</formula>
    </cfRule>
    <cfRule type="expression" dxfId="14408" priority="136336">
      <formula>IF($B28="Quoting",TRUE,FALSE)</formula>
    </cfRule>
    <cfRule type="expression" dxfId="14407" priority="136337">
      <formula>IF($B28="Quoting",TRUE,FALSE)</formula>
    </cfRule>
    <cfRule type="expression" dxfId="14406" priority="136338">
      <formula>IF($B28="Quoting",TRUE,FALSE)</formula>
    </cfRule>
    <cfRule type="expression" dxfId="14405" priority="136339">
      <formula>IF($B28="Quoting",TRUE,FALSE)</formula>
    </cfRule>
    <cfRule type="expression" dxfId="14404" priority="136340">
      <formula>IF($B28="Quoting",TRUE,FALSE)</formula>
    </cfRule>
    <cfRule type="expression" dxfId="14403" priority="136341">
      <formula>IF($B28="Quoting",TRUE,FALSE)</formula>
    </cfRule>
    <cfRule type="expression" dxfId="14402" priority="136342">
      <formula>IF($B28="Quoting",TRUE,FALSE)</formula>
    </cfRule>
    <cfRule type="expression" dxfId="14401" priority="136343">
      <formula>IF($B28="Quoting",TRUE,FALSE)</formula>
    </cfRule>
    <cfRule type="expression" dxfId="14400" priority="136344">
      <formula>IF($B28="Quoting",TRUE,FALSE)</formula>
    </cfRule>
    <cfRule type="expression" dxfId="14399" priority="136345">
      <formula>IF($B28="Quoting",TRUE,FALSE)</formula>
    </cfRule>
    <cfRule type="expression" dxfId="14398" priority="136346">
      <formula>IF($B28="Quoting",TRUE,FALSE)</formula>
    </cfRule>
    <cfRule type="expression" dxfId="14397" priority="136347">
      <formula>IF($B28="Quoting",TRUE,FALSE)</formula>
    </cfRule>
    <cfRule type="expression" dxfId="14396" priority="136348">
      <formula>IF($B28="Quoting",TRUE,FALSE)</formula>
    </cfRule>
    <cfRule type="expression" dxfId="14395" priority="136349">
      <formula>IF($B28="Quoting",TRUE,FALSE)</formula>
    </cfRule>
    <cfRule type="expression" dxfId="14394" priority="136350">
      <formula>IF($B28="Quoting",TRUE,FALSE)</formula>
    </cfRule>
    <cfRule type="expression" dxfId="14393" priority="136351">
      <formula>IF($B28="Quoting",TRUE,FALSE)</formula>
    </cfRule>
    <cfRule type="expression" dxfId="14392" priority="136352">
      <formula>IF($B28="Quoting",TRUE,FALSE)</formula>
    </cfRule>
    <cfRule type="expression" dxfId="14391" priority="136353">
      <formula>IF($B28="Quoting",TRUE,FALSE)</formula>
    </cfRule>
    <cfRule type="expression" dxfId="14390" priority="136354">
      <formula>IF($B28="Quoting",TRUE,FALSE)</formula>
    </cfRule>
    <cfRule type="expression" dxfId="14389" priority="136355">
      <formula>IF($B28="Quoting",TRUE,FALSE)</formula>
    </cfRule>
    <cfRule type="expression" dxfId="14388" priority="136356">
      <formula>IF($B28="Quoting",TRUE,FALSE)</formula>
    </cfRule>
    <cfRule type="expression" dxfId="14387" priority="136357">
      <formula>IF($B28="Quoting",TRUE,FALSE)</formula>
    </cfRule>
    <cfRule type="expression" dxfId="14386" priority="136358">
      <formula>IF($B28="Quoting",TRUE,FALSE)</formula>
    </cfRule>
    <cfRule type="expression" dxfId="14385" priority="136359">
      <formula>IF($B28="Quoting",TRUE,FALSE)</formula>
    </cfRule>
    <cfRule type="expression" dxfId="14384" priority="136360">
      <formula>IF($B28="Quoting",TRUE,FALSE)</formula>
    </cfRule>
    <cfRule type="expression" dxfId="14383" priority="136361">
      <formula>IF($B28="Quoting",TRUE,FALSE)</formula>
    </cfRule>
    <cfRule type="expression" dxfId="14382" priority="136362">
      <formula>IF($B28="Quoting",TRUE,FALSE)</formula>
    </cfRule>
    <cfRule type="expression" dxfId="14381" priority="136363">
      <formula>IF($B28="Quoting",TRUE,FALSE)</formula>
    </cfRule>
    <cfRule type="expression" dxfId="14380" priority="136364">
      <formula>IF($B28="Quoting",TRUE,FALSE)</formula>
    </cfRule>
    <cfRule type="expression" dxfId="14379" priority="136365">
      <formula>IF($B28="Quoting",TRUE,FALSE)</formula>
    </cfRule>
    <cfRule type="expression" dxfId="14378" priority="136366">
      <formula>IF($B28="Quoting",TRUE,FALSE)</formula>
    </cfRule>
    <cfRule type="expression" dxfId="14377" priority="136367">
      <formula>IF($B28="Quoting",TRUE,FALSE)</formula>
    </cfRule>
    <cfRule type="expression" dxfId="14376" priority="136368">
      <formula>IF($B28="Quoting",TRUE,FALSE)</formula>
    </cfRule>
    <cfRule type="expression" dxfId="14375" priority="136369">
      <formula>IF($B28="Quoting",TRUE,FALSE)</formula>
    </cfRule>
    <cfRule type="expression" dxfId="14374" priority="136370">
      <formula>IF($B28="Quoting",TRUE,FALSE)</formula>
    </cfRule>
    <cfRule type="expression" dxfId="14373" priority="136371">
      <formula>IF($B28="Quoting",TRUE,FALSE)</formula>
    </cfRule>
    <cfRule type="expression" dxfId="14372" priority="136372">
      <formula>IF($B28="Quoting",TRUE,FALSE)</formula>
    </cfRule>
    <cfRule type="expression" dxfId="14371" priority="136373">
      <formula>IF($B28="Quoting",TRUE,FALSE)</formula>
    </cfRule>
    <cfRule type="expression" dxfId="14370" priority="136374">
      <formula>IF($B28="Quoting",TRUE,FALSE)</formula>
    </cfRule>
    <cfRule type="expression" dxfId="14369" priority="136375">
      <formula>IF($B28="Quoting",TRUE,FALSE)</formula>
    </cfRule>
    <cfRule type="expression" dxfId="14368" priority="136376">
      <formula>IF($B28="Quoting",TRUE,FALSE)</formula>
    </cfRule>
    <cfRule type="expression" dxfId="14367" priority="136377">
      <formula>IF($B28="Quoting",TRUE,FALSE)</formula>
    </cfRule>
    <cfRule type="expression" dxfId="14366" priority="136378">
      <formula>IF($B28="Quoting",TRUE,FALSE)</formula>
    </cfRule>
    <cfRule type="expression" dxfId="14365" priority="136379">
      <formula>IF($B28="Quoting",TRUE,FALSE)</formula>
    </cfRule>
    <cfRule type="expression" dxfId="14364" priority="136380">
      <formula>IF($B28="Quoting",TRUE,FALSE)</formula>
    </cfRule>
    <cfRule type="expression" dxfId="14363" priority="136381">
      <formula>IF($B28="Quoting",TRUE,FALSE)</formula>
    </cfRule>
    <cfRule type="expression" dxfId="14362" priority="136382">
      <formula>IF($B28="Quoting",TRUE,FALSE)</formula>
    </cfRule>
    <cfRule type="expression" dxfId="14361" priority="136383">
      <formula>IF($B28="Quoting",TRUE,FALSE)</formula>
    </cfRule>
    <cfRule type="expression" dxfId="14360" priority="136384">
      <formula>IF($B28="Quoting",TRUE,FALSE)</formula>
    </cfRule>
    <cfRule type="expression" dxfId="14359" priority="136385">
      <formula>IF($B28="Quoting",TRUE,FALSE)</formula>
    </cfRule>
    <cfRule type="expression" dxfId="14358" priority="136386">
      <formula>IF($B28="Quoting",TRUE,FALSE)</formula>
    </cfRule>
    <cfRule type="expression" dxfId="14357" priority="136387">
      <formula>IF($B28="Quoting",TRUE,FALSE)</formula>
    </cfRule>
    <cfRule type="expression" dxfId="14356" priority="136388">
      <formula>IF($B28="Quoting",TRUE,FALSE)</formula>
    </cfRule>
    <cfRule type="expression" dxfId="14355" priority="136389">
      <formula>IF($B28="Quoting",TRUE,FALSE)</formula>
    </cfRule>
    <cfRule type="expression" dxfId="14354" priority="136390">
      <formula>IF($B28="Quoting",TRUE,FALSE)</formula>
    </cfRule>
    <cfRule type="expression" dxfId="14353" priority="136391">
      <formula>IF($B28="Quoting",TRUE,FALSE)</formula>
    </cfRule>
    <cfRule type="expression" dxfId="14352" priority="136392">
      <formula>IF($B28="Quoting",TRUE,FALSE)</formula>
    </cfRule>
    <cfRule type="expression" dxfId="14351" priority="136393">
      <formula>IF($B28="Quoting",TRUE,FALSE)</formula>
    </cfRule>
    <cfRule type="expression" dxfId="14350" priority="136394">
      <formula>IF($B28="Quoting",TRUE,FALSE)</formula>
    </cfRule>
    <cfRule type="expression" dxfId="14349" priority="136395">
      <formula>IF($B28="Quoting",TRUE,FALSE)</formula>
    </cfRule>
    <cfRule type="expression" dxfId="14348" priority="136396">
      <formula>IF($B28="Quoting",TRUE,FALSE)</formula>
    </cfRule>
    <cfRule type="expression" dxfId="14347" priority="136397">
      <formula>IF($B28="Quoting",TRUE,FALSE)</formula>
    </cfRule>
    <cfRule type="expression" dxfId="14346" priority="136398">
      <formula>IF($B28="Quoting",TRUE,FALSE)</formula>
    </cfRule>
    <cfRule type="expression" dxfId="14345" priority="136399">
      <formula>IF($B28="Quoting",TRUE,FALSE)</formula>
    </cfRule>
    <cfRule type="expression" dxfId="14344" priority="136400">
      <formula>IF($B28="Quoting",TRUE,FALSE)</formula>
    </cfRule>
    <cfRule type="expression" dxfId="14343" priority="136401">
      <formula>IF($B28="Quoting",TRUE,FALSE)</formula>
    </cfRule>
    <cfRule type="expression" dxfId="14342" priority="136402">
      <formula>IF($B28="Quoting",TRUE,FALSE)</formula>
    </cfRule>
    <cfRule type="expression" dxfId="14341" priority="136403">
      <formula>IF($B28="Quoting",TRUE,FALSE)</formula>
    </cfRule>
    <cfRule type="expression" dxfId="14340" priority="136404">
      <formula>IF($B28="Quoting",TRUE,FALSE)</formula>
    </cfRule>
    <cfRule type="expression" dxfId="14339" priority="136405">
      <formula>IF($B28="Quoting",TRUE,FALSE)</formula>
    </cfRule>
    <cfRule type="expression" dxfId="14338" priority="136406">
      <formula>IF($B28="Quoting",TRUE,FALSE)</formula>
    </cfRule>
    <cfRule type="expression" dxfId="14337" priority="136407">
      <formula>IF($B28="Quoting",TRUE,FALSE)</formula>
    </cfRule>
    <cfRule type="expression" dxfId="14336" priority="136408">
      <formula>IF($B28="Quoting",TRUE,FALSE)</formula>
    </cfRule>
    <cfRule type="expression" dxfId="14335" priority="136409">
      <formula>IF($B28="Quoting",TRUE,FALSE)</formula>
    </cfRule>
    <cfRule type="expression" dxfId="14334" priority="136410">
      <formula>IF($B28="Quoting",TRUE,FALSE)</formula>
    </cfRule>
    <cfRule type="expression" dxfId="14333" priority="136411">
      <formula>IF($B28="Quoting",TRUE,FALSE)</formula>
    </cfRule>
    <cfRule type="expression" dxfId="14332" priority="136412">
      <formula>IF($B28="Quoting",TRUE,FALSE)</formula>
    </cfRule>
    <cfRule type="expression" dxfId="14331" priority="136413">
      <formula>IF($B28="Quoting",TRUE,FALSE)</formula>
    </cfRule>
    <cfRule type="expression" dxfId="14330" priority="136414">
      <formula>IF($B28="Quoting",TRUE,FALSE)</formula>
    </cfRule>
    <cfRule type="expression" dxfId="14329" priority="136415">
      <formula>IF($B28="Quoting",TRUE,FALSE)</formula>
    </cfRule>
    <cfRule type="expression" dxfId="14328" priority="136416">
      <formula>IF($B28="Quoting",TRUE,FALSE)</formula>
    </cfRule>
    <cfRule type="expression" dxfId="14327" priority="136417">
      <formula>IF($B28="Quoting",TRUE,FALSE)</formula>
    </cfRule>
    <cfRule type="expression" dxfId="14326" priority="136418">
      <formula>IF($B28="Quoting",TRUE,FALSE)</formula>
    </cfRule>
    <cfRule type="expression" dxfId="14325" priority="136419">
      <formula>IF($B28="Quoting",TRUE,FALSE)</formula>
    </cfRule>
    <cfRule type="expression" dxfId="14324" priority="136420">
      <formula>IF($B28="Quoting",TRUE,FALSE)</formula>
    </cfRule>
    <cfRule type="expression" dxfId="14323" priority="136421">
      <formula>IF($B28="Quoting",TRUE,FALSE)</formula>
    </cfRule>
    <cfRule type="expression" dxfId="14322" priority="136422">
      <formula>IF($B28="Quoting",TRUE,FALSE)</formula>
    </cfRule>
    <cfRule type="expression" dxfId="14321" priority="136423">
      <formula>IF($B28="Quoting",TRUE,FALSE)</formula>
    </cfRule>
    <cfRule type="expression" dxfId="14320" priority="136424">
      <formula>IF($B28="Quoting",TRUE,FALSE)</formula>
    </cfRule>
    <cfRule type="expression" dxfId="14319" priority="136425">
      <formula>IF($B28="Quoting",TRUE,FALSE)</formula>
    </cfRule>
    <cfRule type="expression" dxfId="14318" priority="136426">
      <formula>IF($B28="Quoting",TRUE,FALSE)</formula>
    </cfRule>
    <cfRule type="expression" dxfId="14317" priority="136427">
      <formula>IF($B28="Quoting",TRUE,FALSE)</formula>
    </cfRule>
    <cfRule type="expression" dxfId="14316" priority="136428">
      <formula>IF($B28="Quoting",TRUE,FALSE)</formula>
    </cfRule>
    <cfRule type="expression" dxfId="14315" priority="136429">
      <formula>IF($B28="Quoting",TRUE,FALSE)</formula>
    </cfRule>
    <cfRule type="expression" dxfId="14314" priority="136430">
      <formula>IF($B28="Quoting",TRUE,FALSE)</formula>
    </cfRule>
    <cfRule type="expression" dxfId="14313" priority="136431">
      <formula>IF($B28="Quoting",TRUE,FALSE)</formula>
    </cfRule>
    <cfRule type="expression" dxfId="14312" priority="136432">
      <formula>IF($B28="Quoting",TRUE,FALSE)</formula>
    </cfRule>
    <cfRule type="expression" dxfId="14311" priority="136433">
      <formula>IF($B28="Quoting",TRUE,FALSE)</formula>
    </cfRule>
    <cfRule type="expression" dxfId="14310" priority="136434">
      <formula>IF($B28="Quoting",TRUE,FALSE)</formula>
    </cfRule>
    <cfRule type="expression" dxfId="14309" priority="136435">
      <formula>IF($B28="Quoting",TRUE,FALSE)</formula>
    </cfRule>
    <cfRule type="expression" dxfId="14308" priority="136436">
      <formula>IF($B28="Quoting",TRUE,FALSE)</formula>
    </cfRule>
    <cfRule type="expression" dxfId="14307" priority="136437">
      <formula>IF($B28="Quoting",TRUE,FALSE)</formula>
    </cfRule>
    <cfRule type="expression" dxfId="14306" priority="136438">
      <formula>IF($B28="Quoting",TRUE,FALSE)</formula>
    </cfRule>
    <cfRule type="expression" dxfId="14305" priority="136439">
      <formula>IF($B28="Quoting",TRUE,FALSE)</formula>
    </cfRule>
    <cfRule type="expression" dxfId="14304" priority="136440">
      <formula>IF($B28="Quoting",TRUE,FALSE)</formula>
    </cfRule>
    <cfRule type="expression" dxfId="14303" priority="136441">
      <formula>IF($B28="Quoting",TRUE,FALSE)</formula>
    </cfRule>
    <cfRule type="expression" dxfId="14302" priority="136442">
      <formula>IF($B28="Quoting",TRUE,FALSE)</formula>
    </cfRule>
    <cfRule type="expression" dxfId="14301" priority="136443">
      <formula>IF($B28="Quoting",TRUE,FALSE)</formula>
    </cfRule>
    <cfRule type="expression" dxfId="14300" priority="136444">
      <formula>IF($B28="Quoting",TRUE,FALSE)</formula>
    </cfRule>
    <cfRule type="expression" dxfId="14299" priority="136445">
      <formula>IF($B28="Quoting",TRUE,FALSE)</formula>
    </cfRule>
    <cfRule type="expression" dxfId="14298" priority="136446">
      <formula>IF($B28="Quoting",TRUE,FALSE)</formula>
    </cfRule>
    <cfRule type="expression" dxfId="14297" priority="136447">
      <formula>IF($B28="Quoting",TRUE,FALSE)</formula>
    </cfRule>
    <cfRule type="expression" dxfId="14296" priority="136448">
      <formula>IF($B28="Quoting",TRUE,FALSE)</formula>
    </cfRule>
    <cfRule type="expression" dxfId="14295" priority="136449">
      <formula>IF($B28="Quoting",TRUE,FALSE)</formula>
    </cfRule>
    <cfRule type="expression" dxfId="14294" priority="136450">
      <formula>IF($B28="Quoting",TRUE,FALSE)</formula>
    </cfRule>
    <cfRule type="expression" dxfId="14293" priority="136451">
      <formula>IF($B28="Quoting",TRUE,FALSE)</formula>
    </cfRule>
    <cfRule type="expression" dxfId="14292" priority="136452">
      <formula>IF($B28="Quoting",TRUE,FALSE)</formula>
    </cfRule>
    <cfRule type="expression" dxfId="14291" priority="136453">
      <formula>IF($B28="Quoting",TRUE,FALSE)</formula>
    </cfRule>
    <cfRule type="expression" dxfId="14290" priority="136454">
      <formula>IF($B28="Quoting",TRUE,FALSE)</formula>
    </cfRule>
    <cfRule type="expression" dxfId="14289" priority="136455">
      <formula>IF($B28="Quoting",TRUE,FALSE)</formula>
    </cfRule>
    <cfRule type="expression" dxfId="14288" priority="136456">
      <formula>IF($B28="Quoting",TRUE,FALSE)</formula>
    </cfRule>
    <cfRule type="expression" dxfId="14287" priority="136457">
      <formula>IF($B28="Quoting",TRUE,FALSE)</formula>
    </cfRule>
    <cfRule type="expression" dxfId="14286" priority="136458">
      <formula>IF($B28="Quoting",TRUE,FALSE)</formula>
    </cfRule>
    <cfRule type="expression" dxfId="14285" priority="136459">
      <formula>IF($B28="Quoting",TRUE,FALSE)</formula>
    </cfRule>
    <cfRule type="expression" dxfId="14284" priority="136460">
      <formula>IF($B28="Quoting",TRUE,FALSE)</formula>
    </cfRule>
    <cfRule type="expression" dxfId="14283" priority="136461">
      <formula>IF($B28="Quoting",TRUE,FALSE)</formula>
    </cfRule>
    <cfRule type="expression" dxfId="14282" priority="136462">
      <formula>IF($B28="Quoting",TRUE,FALSE)</formula>
    </cfRule>
    <cfRule type="expression" dxfId="14281" priority="136463">
      <formula>IF($B28="Quoting",TRUE,FALSE)</formula>
    </cfRule>
    <cfRule type="expression" dxfId="14280" priority="136464">
      <formula>IF($B28="Quoting",TRUE,FALSE)</formula>
    </cfRule>
    <cfRule type="expression" dxfId="14279" priority="136465">
      <formula>IF($B28="Quoting",TRUE,FALSE)</formula>
    </cfRule>
    <cfRule type="expression" dxfId="14278" priority="136466">
      <formula>IF($B28="Quoting",TRUE,FALSE)</formula>
    </cfRule>
    <cfRule type="expression" dxfId="14277" priority="136467">
      <formula>IF($B28="Quoting",TRUE,FALSE)</formula>
    </cfRule>
    <cfRule type="expression" dxfId="14276" priority="136468">
      <formula>IF($B28="Quoting",TRUE,FALSE)</formula>
    </cfRule>
    <cfRule type="expression" dxfId="14275" priority="136469">
      <formula>IF($B28="Quoting",TRUE,FALSE)</formula>
    </cfRule>
    <cfRule type="expression" dxfId="14274" priority="136470">
      <formula>IF($B28="Quoting",TRUE,FALSE)</formula>
    </cfRule>
    <cfRule type="expression" dxfId="14273" priority="136471">
      <formula>IF($B28="Quoting",TRUE,FALSE)</formula>
    </cfRule>
    <cfRule type="expression" dxfId="14272" priority="136472">
      <formula>IF($B28="Quoting",TRUE,FALSE)</formula>
    </cfRule>
    <cfRule type="expression" dxfId="14271" priority="136473">
      <formula>IF($B28="Quoting",TRUE,FALSE)</formula>
    </cfRule>
    <cfRule type="expression" dxfId="14270" priority="136474">
      <formula>IF($B28="Quoting",TRUE,FALSE)</formula>
    </cfRule>
    <cfRule type="expression" dxfId="14269" priority="136475">
      <formula>IF($B28="Quoting",TRUE,FALSE)</formula>
    </cfRule>
    <cfRule type="expression" dxfId="14268" priority="136476">
      <formula>IF($B28="Quoting",TRUE,FALSE)</formula>
    </cfRule>
    <cfRule type="expression" dxfId="14267" priority="136477">
      <formula>IF($B28="Quoting",TRUE,FALSE)</formula>
    </cfRule>
    <cfRule type="expression" dxfId="14266" priority="136478">
      <formula>IF($B28="Quoting",TRUE,FALSE)</formula>
    </cfRule>
    <cfRule type="expression" dxfId="14265" priority="136479">
      <formula>IF($B28="Quoting",TRUE,FALSE)</formula>
    </cfRule>
    <cfRule type="expression" dxfId="14264" priority="136480">
      <formula>IF($B28="Quoting",TRUE,FALSE)</formula>
    </cfRule>
    <cfRule type="expression" dxfId="14263" priority="136481">
      <formula>IF($B28="Quoting",TRUE,FALSE)</formula>
    </cfRule>
    <cfRule type="expression" dxfId="14262" priority="136482">
      <formula>IF($B28="Quoting",TRUE,FALSE)</formula>
    </cfRule>
    <cfRule type="expression" dxfId="14261" priority="136483">
      <formula>IF($B28="Quoting",TRUE,FALSE)</formula>
    </cfRule>
    <cfRule type="expression" dxfId="14260" priority="136484">
      <formula>IF($B28="Quoting",TRUE,FALSE)</formula>
    </cfRule>
    <cfRule type="expression" dxfId="14259" priority="136485">
      <formula>IF($B28="Quoting",TRUE,FALSE)</formula>
    </cfRule>
    <cfRule type="expression" dxfId="14258" priority="136486">
      <formula>IF($B28="Quoting",TRUE,FALSE)</formula>
    </cfRule>
    <cfRule type="expression" dxfId="14257" priority="136487">
      <formula>IF($B28="Quoting",TRUE,FALSE)</formula>
    </cfRule>
    <cfRule type="expression" dxfId="14256" priority="136488">
      <formula>IF($B28="Quoting",TRUE,FALSE)</formula>
    </cfRule>
    <cfRule type="expression" dxfId="14255" priority="136489">
      <formula>IF($B28="Quoting",TRUE,FALSE)</formula>
    </cfRule>
    <cfRule type="expression" dxfId="14254" priority="136490">
      <formula>IF($B28="Quoting",TRUE,FALSE)</formula>
    </cfRule>
    <cfRule type="expression" dxfId="14253" priority="136491">
      <formula>IF($B28="Quoting",TRUE,FALSE)</formula>
    </cfRule>
    <cfRule type="expression" dxfId="14252" priority="136492">
      <formula>IF($B28="Quoting",TRUE,FALSE)</formula>
    </cfRule>
    <cfRule type="expression" dxfId="14251" priority="136493">
      <formula>IF($B28="Quoting",TRUE,FALSE)</formula>
    </cfRule>
    <cfRule type="expression" dxfId="14250" priority="136494">
      <formula>IF($B28="Quoting",TRUE,FALSE)</formula>
    </cfRule>
    <cfRule type="expression" dxfId="14249" priority="136495">
      <formula>IF($B28="Quoting",TRUE,FALSE)</formula>
    </cfRule>
    <cfRule type="expression" dxfId="14248" priority="136496">
      <formula>IF($B28="Quoting",TRUE,FALSE)</formula>
    </cfRule>
    <cfRule type="expression" dxfId="14247" priority="136497">
      <formula>IF($B28="Quoting",TRUE,FALSE)</formula>
    </cfRule>
    <cfRule type="expression" dxfId="14246" priority="136498">
      <formula>IF($B28="Quoting",TRUE,FALSE)</formula>
    </cfRule>
    <cfRule type="expression" dxfId="14245" priority="136499">
      <formula>IF($B28="Quoting",TRUE,FALSE)</formula>
    </cfRule>
    <cfRule type="expression" dxfId="14244" priority="136500">
      <formula>IF($B28="Quoting",TRUE,FALSE)</formula>
    </cfRule>
    <cfRule type="expression" dxfId="14243" priority="136501">
      <formula>IF($B28="Quoting",TRUE,FALSE)</formula>
    </cfRule>
    <cfRule type="expression" dxfId="14242" priority="136502">
      <formula>IF($B28="Quoting",TRUE,FALSE)</formula>
    </cfRule>
    <cfRule type="expression" dxfId="14241" priority="136503">
      <formula>IF($B28="Quoting",TRUE,FALSE)</formula>
    </cfRule>
    <cfRule type="expression" dxfId="14240" priority="136504">
      <formula>IF($B28="Quoting",TRUE,FALSE)</formula>
    </cfRule>
    <cfRule type="expression" dxfId="14239" priority="136505">
      <formula>IF($B28="Quoting",TRUE,FALSE)</formula>
    </cfRule>
    <cfRule type="expression" dxfId="14238" priority="136506">
      <formula>IF($B28="Quoting",TRUE,FALSE)</formula>
    </cfRule>
    <cfRule type="expression" dxfId="14237" priority="136507">
      <formula>IF($B28="Quoting",TRUE,FALSE)</formula>
    </cfRule>
    <cfRule type="expression" dxfId="14236" priority="136508">
      <formula>IF($B28="Quoting",TRUE,FALSE)</formula>
    </cfRule>
    <cfRule type="expression" dxfId="14235" priority="136509">
      <formula>IF($B28="Quoting",TRUE,FALSE)</formula>
    </cfRule>
    <cfRule type="expression" dxfId="14234" priority="136510">
      <formula>IF($B28="Quoting",TRUE,FALSE)</formula>
    </cfRule>
    <cfRule type="expression" dxfId="14233" priority="136511">
      <formula>IF($B28="Quoting",TRUE,FALSE)</formula>
    </cfRule>
    <cfRule type="expression" dxfId="14232" priority="136512">
      <formula>IF($B28="Quoting",TRUE,FALSE)</formula>
    </cfRule>
    <cfRule type="expression" dxfId="14231" priority="136513">
      <formula>IF($B28="Quoting",TRUE,FALSE)</formula>
    </cfRule>
    <cfRule type="expression" dxfId="14230" priority="136514">
      <formula>IF($B28="Quoting",TRUE,FALSE)</formula>
    </cfRule>
    <cfRule type="expression" dxfId="14229" priority="136515">
      <formula>IF($B28="Quoting",TRUE,FALSE)</formula>
    </cfRule>
    <cfRule type="expression" dxfId="14228" priority="136516">
      <formula>IF($B28="Quoting",TRUE,FALSE)</formula>
    </cfRule>
    <cfRule type="expression" dxfId="14227" priority="136517">
      <formula>IF($B28="Quoting",TRUE,FALSE)</formula>
    </cfRule>
    <cfRule type="expression" dxfId="14226" priority="136518">
      <formula>IF($B28="Quoting",TRUE,FALSE)</formula>
    </cfRule>
    <cfRule type="expression" dxfId="14225" priority="136520">
      <formula>IF($B28="Quoting",TRUE,FALSE)</formula>
    </cfRule>
    <cfRule type="expression" dxfId="14224" priority="136539">
      <formula>IF($B28="Quoting",TRUE,FALSE)</formula>
    </cfRule>
    <cfRule type="expression" dxfId="14223" priority="136540">
      <formula>IF($B28="Quoting",TRUE,FALSE)</formula>
    </cfRule>
    <cfRule type="expression" dxfId="14222" priority="136541">
      <formula>IF($B28="Quoting",TRUE,FALSE)</formula>
    </cfRule>
    <cfRule type="expression" dxfId="14221" priority="136542">
      <formula>IF($B28="Quoting",TRUE,FALSE)</formula>
    </cfRule>
    <cfRule type="expression" dxfId="14220" priority="136543">
      <formula>IF($B28="Quoting",TRUE,FALSE)</formula>
    </cfRule>
    <cfRule type="expression" dxfId="14219" priority="136544">
      <formula>IF($B28="Quoting",TRUE,FALSE)</formula>
    </cfRule>
    <cfRule type="expression" dxfId="14218" priority="136545">
      <formula>IF($B28="Quoting",TRUE,FALSE)</formula>
    </cfRule>
    <cfRule type="expression" dxfId="14217" priority="136546">
      <formula>IF($B28="Quoting",TRUE,FALSE)</formula>
    </cfRule>
    <cfRule type="expression" dxfId="14216" priority="136547">
      <formula>IF($B28="Quoting",TRUE,FALSE)</formula>
    </cfRule>
    <cfRule type="expression" dxfId="14215" priority="136548">
      <formula>IF($B28="Quoting",TRUE,FALSE)</formula>
    </cfRule>
    <cfRule type="expression" dxfId="14214" priority="136549">
      <formula>IF($B28="Quoting",TRUE,FALSE)</formula>
    </cfRule>
    <cfRule type="expression" dxfId="14213" priority="136550">
      <formula>IF($B28="Quoting",TRUE,FALSE)</formula>
    </cfRule>
    <cfRule type="expression" dxfId="14212" priority="136551">
      <formula>IF($B28="Quoting",TRUE,FALSE)</formula>
    </cfRule>
    <cfRule type="expression" dxfId="14211" priority="136552">
      <formula>IF($B28="Quoting",TRUE,FALSE)</formula>
    </cfRule>
    <cfRule type="expression" dxfId="14210" priority="136553">
      <formula>IF($B28="Quoting",TRUE,FALSE)</formula>
    </cfRule>
    <cfRule type="expression" dxfId="14209" priority="136554">
      <formula>IF($B28="Quoting",TRUE,FALSE)</formula>
    </cfRule>
    <cfRule type="expression" dxfId="14208" priority="136555">
      <formula>IF($B28="Quoting",TRUE,FALSE)</formula>
    </cfRule>
    <cfRule type="expression" dxfId="14207" priority="136556">
      <formula>IF($B28="Quoting",TRUE,FALSE)</formula>
    </cfRule>
    <cfRule type="expression" dxfId="14206" priority="136557">
      <formula>IF($B28="Quoting",TRUE,FALSE)</formula>
    </cfRule>
    <cfRule type="expression" dxfId="14205" priority="136558">
      <formula>IF($B28="Quoting",TRUE,FALSE)</formula>
    </cfRule>
    <cfRule type="expression" dxfId="14204" priority="136559">
      <formula>IF($B28="Quoting",TRUE,FALSE)</formula>
    </cfRule>
    <cfRule type="expression" dxfId="14203" priority="136560">
      <formula>IF($B28="Quoting",TRUE,FALSE)</formula>
    </cfRule>
    <cfRule type="expression" dxfId="14202" priority="136561">
      <formula>IF($B28="Quoting",TRUE,FALSE)</formula>
    </cfRule>
    <cfRule type="expression" dxfId="14201" priority="136562">
      <formula>IF($B28="Quoting",TRUE,FALSE)</formula>
    </cfRule>
    <cfRule type="expression" dxfId="14200" priority="136563">
      <formula>IF($B28="Quoting",TRUE,FALSE)</formula>
    </cfRule>
    <cfRule type="expression" dxfId="14199" priority="136564">
      <formula>IF($B28="Quoting",TRUE,FALSE)</formula>
    </cfRule>
    <cfRule type="expression" dxfId="14198" priority="136565">
      <formula>IF($B28="Quoting",TRUE,FALSE)</formula>
    </cfRule>
    <cfRule type="expression" dxfId="14197" priority="136566">
      <formula>IF($B28="Quoting",TRUE,FALSE)</formula>
    </cfRule>
    <cfRule type="expression" dxfId="14196" priority="136567">
      <formula>IF($B28="Quoting",TRUE,FALSE)</formula>
    </cfRule>
    <cfRule type="expression" dxfId="14195" priority="136568">
      <formula>IF($B28="Quoting",TRUE,FALSE)</formula>
    </cfRule>
    <cfRule type="expression" dxfId="14194" priority="136569">
      <formula>IF($B28="Quoting",TRUE,FALSE)</formula>
    </cfRule>
    <cfRule type="expression" dxfId="14193" priority="136570">
      <formula>IF($B28="Quoting",TRUE,FALSE)</formula>
    </cfRule>
    <cfRule type="expression" dxfId="14192" priority="136571">
      <formula>IF($B28="Quoting",TRUE,FALSE)</formula>
    </cfRule>
    <cfRule type="expression" dxfId="14191" priority="136572">
      <formula>IF($B28="Quoting",TRUE,FALSE)</formula>
    </cfRule>
    <cfRule type="expression" dxfId="14190" priority="136573">
      <formula>IF($B28="Quoting",TRUE,FALSE)</formula>
    </cfRule>
    <cfRule type="expression" dxfId="14189" priority="136574">
      <formula>IF($B28="Quoting",TRUE,FALSE)</formula>
    </cfRule>
    <cfRule type="expression" dxfId="14188" priority="136575">
      <formula>IF($B28="Quoting",TRUE,FALSE)</formula>
    </cfRule>
    <cfRule type="expression" dxfId="14187" priority="136576">
      <formula>IF($B28="Quoting",TRUE,FALSE)</formula>
    </cfRule>
    <cfRule type="expression" dxfId="14186" priority="136577">
      <formula>IF($B28="Quoting",TRUE,FALSE)</formula>
    </cfRule>
    <cfRule type="expression" dxfId="14185" priority="136578">
      <formula>IF($B28="Quoting",TRUE,FALSE)</formula>
    </cfRule>
    <cfRule type="expression" dxfId="14184" priority="136579">
      <formula>IF($B28="Quoting",TRUE,FALSE)</formula>
    </cfRule>
    <cfRule type="expression" dxfId="14183" priority="136580">
      <formula>IF($B28="Quoting",TRUE,FALSE)</formula>
    </cfRule>
    <cfRule type="expression" dxfId="14182" priority="136581">
      <formula>IF($B28="Quoting",TRUE,FALSE)</formula>
    </cfRule>
    <cfRule type="expression" dxfId="14181" priority="136582">
      <formula>IF($B28="Quoting",TRUE,FALSE)</formula>
    </cfRule>
    <cfRule type="expression" dxfId="14180" priority="136583">
      <formula>IF($B28="Quoting",TRUE,FALSE)</formula>
    </cfRule>
    <cfRule type="expression" dxfId="14179" priority="136584">
      <formula>IF($B28="Quoting",TRUE,FALSE)</formula>
    </cfRule>
    <cfRule type="expression" dxfId="14178" priority="136585">
      <formula>IF($B28="Quoting",TRUE,FALSE)</formula>
    </cfRule>
    <cfRule type="expression" dxfId="14177" priority="136586">
      <formula>IF($B28="Quoting",TRUE,FALSE)</formula>
    </cfRule>
    <cfRule type="expression" dxfId="14176" priority="136587">
      <formula>IF($B28="Quoting",TRUE,FALSE)</formula>
    </cfRule>
    <cfRule type="expression" dxfId="14175" priority="136588">
      <formula>IF($B28="Quoting",TRUE,FALSE)</formula>
    </cfRule>
    <cfRule type="expression" dxfId="14174" priority="136589">
      <formula>IF($B28="Quoting",TRUE,FALSE)</formula>
    </cfRule>
    <cfRule type="expression" dxfId="14173" priority="136590">
      <formula>IF($B28="Quoting",TRUE,FALSE)</formula>
    </cfRule>
    <cfRule type="expression" dxfId="14172" priority="136591">
      <formula>IF($B28="Quoting",TRUE,FALSE)</formula>
    </cfRule>
    <cfRule type="expression" dxfId="14171" priority="136592">
      <formula>IF($B28="Quoting",TRUE,FALSE)</formula>
    </cfRule>
    <cfRule type="expression" dxfId="14170" priority="136593">
      <formula>IF($B28="Quoting",TRUE,FALSE)</formula>
    </cfRule>
    <cfRule type="expression" dxfId="14169" priority="136594">
      <formula>IF($B28="Quoting",TRUE,FALSE)</formula>
    </cfRule>
  </conditionalFormatting>
  <conditionalFormatting sqref="G4">
    <cfRule type="expression" dxfId="14168" priority="44270">
      <formula>IF($B4="Quoting",TRUE,FALSE)</formula>
    </cfRule>
  </conditionalFormatting>
  <conditionalFormatting sqref="G5:G6">
    <cfRule type="expression" dxfId="14167" priority="51849">
      <formula>IF($B5="VOID",TRUE,FALSE)</formula>
    </cfRule>
    <cfRule type="expression" dxfId="14166" priority="51850">
      <formula>IF($B5="VOID",TRUE,FALSE)</formula>
    </cfRule>
    <cfRule type="expression" dxfId="14165" priority="51851">
      <formula>IF($B5="VOID",TRUE,FALSE)</formula>
    </cfRule>
    <cfRule type="expression" dxfId="14164" priority="51852">
      <formula>IF($B5="VOID",TRUE,FALSE)</formula>
    </cfRule>
    <cfRule type="expression" dxfId="14163" priority="51853">
      <formula>IF($B5="VOID",TRUE,FALSE)</formula>
    </cfRule>
    <cfRule type="expression" dxfId="14162" priority="51854">
      <formula>IF($B5="VOID",TRUE,FALSE)</formula>
    </cfRule>
    <cfRule type="expression" dxfId="14161" priority="51855">
      <formula>IF($B5="VOID",TRUE,FALSE)</formula>
    </cfRule>
    <cfRule type="expression" dxfId="14160" priority="51856">
      <formula>IF($B5="VOID",TRUE,FALSE)</formula>
    </cfRule>
    <cfRule type="expression" dxfId="14159" priority="51857">
      <formula>IF($B5="VOID",TRUE,FALSE)</formula>
    </cfRule>
    <cfRule type="expression" dxfId="14158" priority="51858">
      <formula>IF($B5="VOID",TRUE,FALSE)</formula>
    </cfRule>
    <cfRule type="expression" dxfId="14157" priority="51859">
      <formula>IF($B5="VOID",TRUE,FALSE)</formula>
    </cfRule>
    <cfRule type="expression" dxfId="14156" priority="51860">
      <formula>IF($B5="VOID",TRUE,FALSE)</formula>
    </cfRule>
    <cfRule type="expression" dxfId="14155" priority="51861">
      <formula>IF($B5="VOID",TRUE,FALSE)</formula>
    </cfRule>
    <cfRule type="expression" dxfId="14154" priority="51862">
      <formula>IF($B5="Quoting",TRUE,FALSE)</formula>
    </cfRule>
    <cfRule type="expression" dxfId="14153" priority="51863">
      <formula>IF($B5="VOID",TRUE,FALSE)</formula>
    </cfRule>
    <cfRule type="expression" dxfId="14152" priority="51864">
      <formula>IF($B5="Quoting",TRUE,FALSE)</formula>
    </cfRule>
    <cfRule type="expression" dxfId="14151" priority="51865">
      <formula>IF($B5="VOID",TRUE,FALSE)</formula>
    </cfRule>
    <cfRule type="expression" dxfId="14150" priority="51866">
      <formula>IF($B5="Quoting",TRUE,FALSE)</formula>
    </cfRule>
    <cfRule type="expression" dxfId="14149" priority="51867">
      <formula>IF($B5="Quoting",TRUE,FALSE)</formula>
    </cfRule>
    <cfRule type="expression" dxfId="14148" priority="51868">
      <formula>IF($B5="VOID",TRUE,FALSE)</formula>
    </cfRule>
    <cfRule type="expression" dxfId="14147" priority="51869">
      <formula>IF($B5="Quoting",TRUE,FALSE)</formula>
    </cfRule>
    <cfRule type="expression" dxfId="14146" priority="51870">
      <formula>IF($B5="Quoting",TRUE,FALSE)</formula>
    </cfRule>
    <cfRule type="expression" dxfId="14145" priority="51900">
      <formula>IF($B5="VOID",TRUE,FALSE)</formula>
    </cfRule>
    <cfRule type="expression" dxfId="14144" priority="51901">
      <formula>IF($B5="VOID",TRUE,FALSE)</formula>
    </cfRule>
    <cfRule type="expression" dxfId="14143" priority="51902">
      <formula>IF($B5="VOID",TRUE,FALSE)</formula>
    </cfRule>
    <cfRule type="expression" dxfId="14142" priority="51903">
      <formula>IF($B5="VOID",TRUE,FALSE)</formula>
    </cfRule>
    <cfRule type="expression" dxfId="14141" priority="51904">
      <formula>IF($B5="VOID",TRUE,FALSE)</formula>
    </cfRule>
    <cfRule type="expression" dxfId="14140" priority="51905">
      <formula>IF($B5="Quoting",TRUE,FALSE)</formula>
    </cfRule>
    <cfRule type="expression" dxfId="14139" priority="51906">
      <formula>IF($B5="VOID",TRUE,FALSE)</formula>
    </cfRule>
    <cfRule type="expression" dxfId="14138" priority="51907">
      <formula>IF($B5="Quoting",TRUE,FALSE)</formula>
    </cfRule>
    <cfRule type="expression" dxfId="14137" priority="51908">
      <formula>IF($B5="VOID",TRUE,FALSE)</formula>
    </cfRule>
    <cfRule type="expression" dxfId="14136" priority="51914">
      <formula>IF($B5="Quoting",TRUE,FALSE)</formula>
    </cfRule>
    <cfRule type="expression" dxfId="14135" priority="51916">
      <formula>IF($B5="Quoting",TRUE,FALSE)</formula>
    </cfRule>
    <cfRule type="expression" dxfId="14134" priority="51918">
      <formula>IF($B5="VOID",TRUE,FALSE)</formula>
    </cfRule>
    <cfRule type="expression" dxfId="14133" priority="51923">
      <formula>IF($B5="Quoting",TRUE,FALSE)</formula>
    </cfRule>
    <cfRule type="expression" dxfId="14132" priority="51926">
      <formula>IF($B5="Quoting",TRUE,FALSE)</formula>
    </cfRule>
    <cfRule type="expression" dxfId="14131" priority="51947">
      <formula>IF($B5="Quoting",TRUE,FALSE)</formula>
    </cfRule>
    <cfRule type="expression" dxfId="14130" priority="51948">
      <formula>IF($B5="Quoting",TRUE,FALSE)</formula>
    </cfRule>
    <cfRule type="expression" dxfId="14129" priority="51949">
      <formula>IF($B5="Quoting",TRUE,FALSE)</formula>
    </cfRule>
    <cfRule type="expression" dxfId="14128" priority="51950">
      <formula>IF($B5="Quoting",TRUE,FALSE)</formula>
    </cfRule>
    <cfRule type="expression" dxfId="14127" priority="51951">
      <formula>IF($B5="Quoting",TRUE,FALSE)</formula>
    </cfRule>
    <cfRule type="expression" dxfId="14126" priority="51952">
      <formula>IF($B5="Quoting",TRUE,FALSE)</formula>
    </cfRule>
    <cfRule type="expression" dxfId="14125" priority="51953">
      <formula>IF($B5="Quoting",TRUE,FALSE)</formula>
    </cfRule>
    <cfRule type="expression" dxfId="14124" priority="51954">
      <formula>IF($B5="Quoting",TRUE,FALSE)</formula>
    </cfRule>
    <cfRule type="expression" dxfId="14123" priority="51955">
      <formula>IF($B5="Quoting",TRUE,FALSE)</formula>
    </cfRule>
    <cfRule type="expression" dxfId="14122" priority="51956">
      <formula>IF($B5="Quoting",TRUE,FALSE)</formula>
    </cfRule>
    <cfRule type="expression" dxfId="14121" priority="51957">
      <formula>IF($B5="Quoting",TRUE,FALSE)</formula>
    </cfRule>
    <cfRule type="expression" dxfId="14120" priority="51958">
      <formula>IF($B5="Quoting",TRUE,FALSE)</formula>
    </cfRule>
    <cfRule type="expression" dxfId="14119" priority="51959">
      <formula>IF($B5="Quoting",TRUE,FALSE)</formula>
    </cfRule>
    <cfRule type="expression" dxfId="14118" priority="51960">
      <formula>IF($B5="Quoting",TRUE,FALSE)</formula>
    </cfRule>
    <cfRule type="expression" dxfId="14117" priority="51961">
      <formula>IF($B5="Quoting",TRUE,FALSE)</formula>
    </cfRule>
    <cfRule type="expression" dxfId="14116" priority="51962">
      <formula>IF($B5="Quoting",TRUE,FALSE)</formula>
    </cfRule>
    <cfRule type="expression" dxfId="14115" priority="51963">
      <formula>IF($B5="Quoting",TRUE,FALSE)</formula>
    </cfRule>
    <cfRule type="expression" dxfId="14114" priority="51964">
      <formula>IF($B5="Quoting",TRUE,FALSE)</formula>
    </cfRule>
    <cfRule type="expression" dxfId="14113" priority="51965">
      <formula>IF($B5="Quoting",TRUE,FALSE)</formula>
    </cfRule>
    <cfRule type="expression" dxfId="14112" priority="51966">
      <formula>IF($B5="Quoting",TRUE,FALSE)</formula>
    </cfRule>
    <cfRule type="expression" dxfId="14111" priority="51967">
      <formula>IF($B5="Quoting",TRUE,FALSE)</formula>
    </cfRule>
    <cfRule type="expression" dxfId="14110" priority="51968">
      <formula>IF($B5="Quoting",TRUE,FALSE)</formula>
    </cfRule>
    <cfRule type="expression" dxfId="14109" priority="51969">
      <formula>IF($B5="Quoting",TRUE,FALSE)</formula>
    </cfRule>
    <cfRule type="expression" dxfId="14108" priority="51970">
      <formula>IF($B5="Quoting",TRUE,FALSE)</formula>
    </cfRule>
    <cfRule type="expression" dxfId="14107" priority="51971">
      <formula>IF($B5="Quoting",TRUE,FALSE)</formula>
    </cfRule>
    <cfRule type="expression" dxfId="14106" priority="51972">
      <formula>IF($B5="Quoting",TRUE,FALSE)</formula>
    </cfRule>
    <cfRule type="expression" dxfId="14105" priority="51973">
      <formula>IF($B5="Quoting",TRUE,FALSE)</formula>
    </cfRule>
    <cfRule type="expression" dxfId="14104" priority="51974">
      <formula>IF($B5="Quoting",TRUE,FALSE)</formula>
    </cfRule>
    <cfRule type="expression" dxfId="14103" priority="51975">
      <formula>IF($B5="Quoting",TRUE,FALSE)</formula>
    </cfRule>
    <cfRule type="expression" dxfId="14102" priority="51976">
      <formula>IF($B5="Quoting",TRUE,FALSE)</formula>
    </cfRule>
    <cfRule type="expression" dxfId="14101" priority="51977">
      <formula>IF($B5="Quoting",TRUE,FALSE)</formula>
    </cfRule>
    <cfRule type="expression" dxfId="14100" priority="51978">
      <formula>IF($B5="Quoting",TRUE,FALSE)</formula>
    </cfRule>
    <cfRule type="expression" dxfId="14099" priority="51979">
      <formula>IF($B5="Quoting",TRUE,FALSE)</formula>
    </cfRule>
    <cfRule type="expression" dxfId="14098" priority="51980">
      <formula>IF($B5="Quoting",TRUE,FALSE)</formula>
    </cfRule>
    <cfRule type="expression" dxfId="14097" priority="51981">
      <formula>IF($B5="Quoting",TRUE,FALSE)</formula>
    </cfRule>
    <cfRule type="expression" dxfId="14096" priority="51982">
      <formula>IF($B5="Quoting",TRUE,FALSE)</formula>
    </cfRule>
    <cfRule type="expression" dxfId="14095" priority="51983">
      <formula>IF($B5="Quoting",TRUE,FALSE)</formula>
    </cfRule>
    <cfRule type="expression" dxfId="14094" priority="51984">
      <formula>IF($B5="Quoting",TRUE,FALSE)</formula>
    </cfRule>
    <cfRule type="expression" dxfId="14093" priority="51985">
      <formula>IF($B5="Quoting",TRUE,FALSE)</formula>
    </cfRule>
    <cfRule type="expression" dxfId="14092" priority="51986">
      <formula>IF($B5="Quoting",TRUE,FALSE)</formula>
    </cfRule>
    <cfRule type="expression" dxfId="14091" priority="51987">
      <formula>IF($B5="Quoting",TRUE,FALSE)</formula>
    </cfRule>
    <cfRule type="expression" dxfId="14090" priority="51988">
      <formula>IF($B5="Quoting",TRUE,FALSE)</formula>
    </cfRule>
    <cfRule type="expression" dxfId="14089" priority="51989">
      <formula>IF($B5="Quoting",TRUE,FALSE)</formula>
    </cfRule>
    <cfRule type="expression" dxfId="14088" priority="51990">
      <formula>IF($B5="Quoting",TRUE,FALSE)</formula>
    </cfRule>
    <cfRule type="expression" dxfId="14087" priority="51991">
      <formula>IF($B5="Quoting",TRUE,FALSE)</formula>
    </cfRule>
    <cfRule type="expression" dxfId="14086" priority="51992">
      <formula>IF($B5="Quoting",TRUE,FALSE)</formula>
    </cfRule>
    <cfRule type="expression" dxfId="14085" priority="51993">
      <formula>IF($B5="Quoting",TRUE,FALSE)</formula>
    </cfRule>
    <cfRule type="expression" dxfId="14084" priority="51994">
      <formula>IF($B5="Quoting",TRUE,FALSE)</formula>
    </cfRule>
    <cfRule type="expression" dxfId="14083" priority="51995">
      <formula>IF($B5="Quoting",TRUE,FALSE)</formula>
    </cfRule>
    <cfRule type="expression" dxfId="14082" priority="51996">
      <formula>IF($B5="Quoting",TRUE,FALSE)</formula>
    </cfRule>
    <cfRule type="expression" dxfId="14081" priority="51997">
      <formula>IF($B5="Quoting",TRUE,FALSE)</formula>
    </cfRule>
    <cfRule type="expression" dxfId="14080" priority="51998">
      <formula>IF($B5="Quoting",TRUE,FALSE)</formula>
    </cfRule>
    <cfRule type="expression" dxfId="14079" priority="51999">
      <formula>IF($B5="Quoting",TRUE,FALSE)</formula>
    </cfRule>
    <cfRule type="expression" dxfId="14078" priority="52000">
      <formula>IF($B5="Quoting",TRUE,FALSE)</formula>
    </cfRule>
    <cfRule type="expression" dxfId="14077" priority="52001">
      <formula>IF($B5="Quoting",TRUE,FALSE)</formula>
    </cfRule>
    <cfRule type="expression" dxfId="14076" priority="52002">
      <formula>IF($B5="Quoting",TRUE,FALSE)</formula>
    </cfRule>
    <cfRule type="expression" dxfId="14075" priority="52003">
      <formula>IF($B5="Quoting",TRUE,FALSE)</formula>
    </cfRule>
    <cfRule type="expression" dxfId="14074" priority="52004">
      <formula>IF($B5="Quoting",TRUE,FALSE)</formula>
    </cfRule>
    <cfRule type="expression" dxfId="14073" priority="52005">
      <formula>IF($B5="Quoting",TRUE,FALSE)</formula>
    </cfRule>
    <cfRule type="expression" dxfId="14072" priority="52006">
      <formula>IF($B5="Quoting",TRUE,FALSE)</formula>
    </cfRule>
    <cfRule type="expression" dxfId="14071" priority="52007">
      <formula>IF($B5="Quoting",TRUE,FALSE)</formula>
    </cfRule>
    <cfRule type="expression" dxfId="14070" priority="52008">
      <formula>IF($B5="Quoting",TRUE,FALSE)</formula>
    </cfRule>
    <cfRule type="expression" dxfId="14069" priority="52009">
      <formula>IF($B5="Quoting",TRUE,FALSE)</formula>
    </cfRule>
    <cfRule type="expression" dxfId="14068" priority="52010">
      <formula>IF($B5="Quoting",TRUE,FALSE)</formula>
    </cfRule>
    <cfRule type="expression" dxfId="14067" priority="52011">
      <formula>IF($B5="Quoting",TRUE,FALSE)</formula>
    </cfRule>
    <cfRule type="expression" dxfId="14066" priority="52012">
      <formula>IF($B5="Quoting",TRUE,FALSE)</formula>
    </cfRule>
    <cfRule type="expression" dxfId="14065" priority="52013">
      <formula>IF($B5="Quoting",TRUE,FALSE)</formula>
    </cfRule>
    <cfRule type="expression" dxfId="14064" priority="52014">
      <formula>IF($B5="Quoting",TRUE,FALSE)</formula>
    </cfRule>
    <cfRule type="expression" dxfId="14063" priority="52015">
      <formula>IF($B5="Quoting",TRUE,FALSE)</formula>
    </cfRule>
    <cfRule type="expression" dxfId="14062" priority="52207">
      <formula>IF($B5="Quoting",TRUE,FALSE)</formula>
    </cfRule>
  </conditionalFormatting>
  <conditionalFormatting sqref="G7">
    <cfRule type="expression" dxfId="14061" priority="51484">
      <formula>IF($B7="Quoting",TRUE,FALSE)</formula>
    </cfRule>
    <cfRule type="expression" dxfId="14060" priority="51527">
      <formula>IF($B7="VOID",TRUE,FALSE)</formula>
    </cfRule>
    <cfRule type="expression" dxfId="14059" priority="51528">
      <formula>IF($B7="VOID",TRUE,FALSE)</formula>
    </cfRule>
    <cfRule type="expression" dxfId="14058" priority="51529">
      <formula>IF($B7="VOID",TRUE,FALSE)</formula>
    </cfRule>
    <cfRule type="expression" dxfId="14057" priority="51530">
      <formula>IF($B7="VOID",TRUE,FALSE)</formula>
    </cfRule>
    <cfRule type="expression" dxfId="14056" priority="51531">
      <formula>IF($B7="VOID",TRUE,FALSE)</formula>
    </cfRule>
    <cfRule type="expression" dxfId="14055" priority="51532">
      <formula>IF($B7="VOID",TRUE,FALSE)</formula>
    </cfRule>
    <cfRule type="expression" dxfId="14054" priority="51533">
      <formula>IF($B7="VOID",TRUE,FALSE)</formula>
    </cfRule>
    <cfRule type="expression" dxfId="14053" priority="51534">
      <formula>IF($B7="VOID",TRUE,FALSE)</formula>
    </cfRule>
    <cfRule type="expression" dxfId="14052" priority="51535">
      <formula>IF($B7="VOID",TRUE,FALSE)</formula>
    </cfRule>
    <cfRule type="expression" dxfId="14051" priority="51536">
      <formula>IF($B7="VOID",TRUE,FALSE)</formula>
    </cfRule>
    <cfRule type="expression" dxfId="14050" priority="51537">
      <formula>IF($B7="VOID",TRUE,FALSE)</formula>
    </cfRule>
    <cfRule type="expression" dxfId="14049" priority="51538">
      <formula>IF($B7="VOID",TRUE,FALSE)</formula>
    </cfRule>
    <cfRule type="expression" dxfId="14048" priority="51539">
      <formula>IF($B7="VOID",TRUE,FALSE)</formula>
    </cfRule>
    <cfRule type="expression" dxfId="14047" priority="51540">
      <formula>IF($B7="Quoting",TRUE,FALSE)</formula>
    </cfRule>
    <cfRule type="expression" dxfId="14046" priority="51541">
      <formula>IF($B7="VOID",TRUE,FALSE)</formula>
    </cfRule>
    <cfRule type="expression" dxfId="14045" priority="51542">
      <formula>IF($B7="Quoting",TRUE,FALSE)</formula>
    </cfRule>
    <cfRule type="expression" dxfId="14044" priority="51543">
      <formula>IF($B7="VOID",TRUE,FALSE)</formula>
    </cfRule>
    <cfRule type="expression" dxfId="14043" priority="51544">
      <formula>IF($B7="Quoting",TRUE,FALSE)</formula>
    </cfRule>
    <cfRule type="expression" dxfId="14042" priority="51545">
      <formula>IF($B7="Quoting",TRUE,FALSE)</formula>
    </cfRule>
    <cfRule type="expression" dxfId="14041" priority="51546">
      <formula>IF($B7="VOID",TRUE,FALSE)</formula>
    </cfRule>
    <cfRule type="expression" dxfId="14040" priority="51547">
      <formula>IF($B7="Quoting",TRUE,FALSE)</formula>
    </cfRule>
    <cfRule type="expression" dxfId="14039" priority="51548">
      <formula>IF($B7="Quoting",TRUE,FALSE)</formula>
    </cfRule>
    <cfRule type="expression" dxfId="14038" priority="51549">
      <formula>IF($B7="VOID",TRUE,FALSE)</formula>
    </cfRule>
    <cfRule type="expression" dxfId="14037" priority="51550">
      <formula>IF($B7="VOID",TRUE,FALSE)</formula>
    </cfRule>
    <cfRule type="expression" dxfId="14036" priority="51551">
      <formula>IF($B7="VOID",TRUE,FALSE)</formula>
    </cfRule>
    <cfRule type="expression" dxfId="14035" priority="51552">
      <formula>IF($B7="VOID",TRUE,FALSE)</formula>
    </cfRule>
    <cfRule type="expression" dxfId="14034" priority="51553">
      <formula>IF($B7="VOID",TRUE,FALSE)</formula>
    </cfRule>
    <cfRule type="expression" dxfId="14033" priority="51554">
      <formula>IF($B7="Quoting",TRUE,FALSE)</formula>
    </cfRule>
    <cfRule type="expression" dxfId="14032" priority="51555">
      <formula>IF($B7="VOID",TRUE,FALSE)</formula>
    </cfRule>
    <cfRule type="expression" dxfId="14031" priority="51556">
      <formula>IF($B7="Quoting",TRUE,FALSE)</formula>
    </cfRule>
    <cfRule type="expression" dxfId="14030" priority="51557">
      <formula>IF($B7="VOID",TRUE,FALSE)</formula>
    </cfRule>
    <cfRule type="expression" dxfId="14029" priority="51563">
      <formula>IF($B7="Quoting",TRUE,FALSE)</formula>
    </cfRule>
    <cfRule type="expression" dxfId="14028" priority="51565">
      <formula>IF($B7="Quoting",TRUE,FALSE)</formula>
    </cfRule>
    <cfRule type="expression" dxfId="14027" priority="51566">
      <formula>IF($B7="VOID",TRUE,FALSE)</formula>
    </cfRule>
    <cfRule type="expression" dxfId="14026" priority="51567">
      <formula>IF($B7="Quoting",TRUE,FALSE)</formula>
    </cfRule>
    <cfRule type="expression" dxfId="14025" priority="51569">
      <formula>IF($B7="Quoting",TRUE,FALSE)</formula>
    </cfRule>
    <cfRule type="expression" dxfId="14024" priority="51570">
      <formula>IF($B7="Quoting",TRUE,FALSE)</formula>
    </cfRule>
    <cfRule type="expression" dxfId="14023" priority="51571">
      <formula>IF($B7="Quoting",TRUE,FALSE)</formula>
    </cfRule>
    <cfRule type="expression" dxfId="14022" priority="51572">
      <formula>IF($B7="Quoting",TRUE,FALSE)</formula>
    </cfRule>
    <cfRule type="expression" dxfId="14021" priority="51573">
      <formula>IF($B7="Quoting",TRUE,FALSE)</formula>
    </cfRule>
    <cfRule type="expression" dxfId="14020" priority="51574">
      <formula>IF($B7="Quoting",TRUE,FALSE)</formula>
    </cfRule>
    <cfRule type="expression" dxfId="14019" priority="51575">
      <formula>IF($B7="Quoting",TRUE,FALSE)</formula>
    </cfRule>
    <cfRule type="expression" dxfId="14018" priority="51576">
      <formula>IF($B7="Quoting",TRUE,FALSE)</formula>
    </cfRule>
    <cfRule type="expression" dxfId="14017" priority="51577">
      <formula>IF($B7="Quoting",TRUE,FALSE)</formula>
    </cfRule>
    <cfRule type="expression" dxfId="14016" priority="51578">
      <formula>IF($B7="Quoting",TRUE,FALSE)</formula>
    </cfRule>
    <cfRule type="expression" dxfId="14015" priority="51579">
      <formula>IF($B7="Quoting",TRUE,FALSE)</formula>
    </cfRule>
    <cfRule type="expression" dxfId="14014" priority="51580">
      <formula>IF($B7="Quoting",TRUE,FALSE)</formula>
    </cfRule>
    <cfRule type="expression" dxfId="14013" priority="51581">
      <formula>IF($B7="Quoting",TRUE,FALSE)</formula>
    </cfRule>
    <cfRule type="expression" dxfId="14012" priority="51582">
      <formula>IF($B7="Quoting",TRUE,FALSE)</formula>
    </cfRule>
    <cfRule type="expression" dxfId="14011" priority="51583">
      <formula>IF($B7="Quoting",TRUE,FALSE)</formula>
    </cfRule>
    <cfRule type="expression" dxfId="14010" priority="51584">
      <formula>IF($B7="Quoting",TRUE,FALSE)</formula>
    </cfRule>
    <cfRule type="expression" dxfId="14009" priority="51585">
      <formula>IF($B7="Quoting",TRUE,FALSE)</formula>
    </cfRule>
    <cfRule type="expression" dxfId="14008" priority="51586">
      <formula>IF($B7="Quoting",TRUE,FALSE)</formula>
    </cfRule>
    <cfRule type="expression" dxfId="14007" priority="51587">
      <formula>IF($B7="Quoting",TRUE,FALSE)</formula>
    </cfRule>
    <cfRule type="expression" dxfId="14006" priority="51588">
      <formula>IF($B7="Quoting",TRUE,FALSE)</formula>
    </cfRule>
    <cfRule type="expression" dxfId="14005" priority="51589">
      <formula>IF($B7="Quoting",TRUE,FALSE)</formula>
    </cfRule>
    <cfRule type="expression" dxfId="14004" priority="51590">
      <formula>IF($B7="Quoting",TRUE,FALSE)</formula>
    </cfRule>
    <cfRule type="expression" dxfId="14003" priority="51591">
      <formula>IF($B7="Quoting",TRUE,FALSE)</formula>
    </cfRule>
    <cfRule type="expression" dxfId="14002" priority="51592">
      <formula>IF($B7="Quoting",TRUE,FALSE)</formula>
    </cfRule>
    <cfRule type="expression" dxfId="14001" priority="51593">
      <formula>IF($B7="Quoting",TRUE,FALSE)</formula>
    </cfRule>
    <cfRule type="expression" dxfId="14000" priority="51594">
      <formula>IF($B7="Quoting",TRUE,FALSE)</formula>
    </cfRule>
    <cfRule type="expression" dxfId="13999" priority="51595">
      <formula>IF($B7="Quoting",TRUE,FALSE)</formula>
    </cfRule>
    <cfRule type="expression" dxfId="13998" priority="51596">
      <formula>IF($B7="Quoting",TRUE,FALSE)</formula>
    </cfRule>
    <cfRule type="expression" dxfId="13997" priority="51597">
      <formula>IF($B7="Quoting",TRUE,FALSE)</formula>
    </cfRule>
    <cfRule type="expression" dxfId="13996" priority="51598">
      <formula>IF($B7="Quoting",TRUE,FALSE)</formula>
    </cfRule>
    <cfRule type="expression" dxfId="13995" priority="51599">
      <formula>IF($B7="Quoting",TRUE,FALSE)</formula>
    </cfRule>
    <cfRule type="expression" dxfId="13994" priority="51600">
      <formula>IF($B7="Quoting",TRUE,FALSE)</formula>
    </cfRule>
    <cfRule type="expression" dxfId="13993" priority="51601">
      <formula>IF($B7="Quoting",TRUE,FALSE)</formula>
    </cfRule>
    <cfRule type="expression" dxfId="13992" priority="51602">
      <formula>IF($B7="Quoting",TRUE,FALSE)</formula>
    </cfRule>
    <cfRule type="expression" dxfId="13991" priority="51603">
      <formula>IF($B7="Quoting",TRUE,FALSE)</formula>
    </cfRule>
    <cfRule type="expression" dxfId="13990" priority="51604">
      <formula>IF($B7="Quoting",TRUE,FALSE)</formula>
    </cfRule>
    <cfRule type="expression" dxfId="13989" priority="51605">
      <formula>IF($B7="Quoting",TRUE,FALSE)</formula>
    </cfRule>
    <cfRule type="expression" dxfId="13988" priority="51606">
      <formula>IF($B7="Quoting",TRUE,FALSE)</formula>
    </cfRule>
    <cfRule type="expression" dxfId="13987" priority="51607">
      <formula>IF($B7="Quoting",TRUE,FALSE)</formula>
    </cfRule>
    <cfRule type="expression" dxfId="13986" priority="51608">
      <formula>IF($B7="Quoting",TRUE,FALSE)</formula>
    </cfRule>
    <cfRule type="expression" dxfId="13985" priority="51609">
      <formula>IF($B7="Quoting",TRUE,FALSE)</formula>
    </cfRule>
    <cfRule type="expression" dxfId="13984" priority="51610">
      <formula>IF($B7="Quoting",TRUE,FALSE)</formula>
    </cfRule>
    <cfRule type="expression" dxfId="13983" priority="51611">
      <formula>IF($B7="Quoting",TRUE,FALSE)</formula>
    </cfRule>
    <cfRule type="expression" dxfId="13982" priority="51612">
      <formula>IF($B7="Quoting",TRUE,FALSE)</formula>
    </cfRule>
    <cfRule type="expression" dxfId="13981" priority="51613">
      <formula>IF($B7="Quoting",TRUE,FALSE)</formula>
    </cfRule>
    <cfRule type="expression" dxfId="13980" priority="51614">
      <formula>IF($B7="Quoting",TRUE,FALSE)</formula>
    </cfRule>
    <cfRule type="expression" dxfId="13979" priority="51615">
      <formula>IF($B7="Quoting",TRUE,FALSE)</formula>
    </cfRule>
    <cfRule type="expression" dxfId="13978" priority="51616">
      <formula>IF($B7="Quoting",TRUE,FALSE)</formula>
    </cfRule>
    <cfRule type="expression" dxfId="13977" priority="51617">
      <formula>IF($B7="Quoting",TRUE,FALSE)</formula>
    </cfRule>
    <cfRule type="expression" dxfId="13976" priority="51618">
      <formula>IF($B7="Quoting",TRUE,FALSE)</formula>
    </cfRule>
    <cfRule type="expression" dxfId="13975" priority="51619">
      <formula>IF($B7="Quoting",TRUE,FALSE)</formula>
    </cfRule>
    <cfRule type="expression" dxfId="13974" priority="51620">
      <formula>IF($B7="Quoting",TRUE,FALSE)</formula>
    </cfRule>
    <cfRule type="expression" dxfId="13973" priority="51621">
      <formula>IF($B7="Quoting",TRUE,FALSE)</formula>
    </cfRule>
    <cfRule type="expression" dxfId="13972" priority="51622">
      <formula>IF($B7="Quoting",TRUE,FALSE)</formula>
    </cfRule>
    <cfRule type="expression" dxfId="13971" priority="51623">
      <formula>IF($B7="Quoting",TRUE,FALSE)</formula>
    </cfRule>
    <cfRule type="expression" dxfId="13970" priority="51624">
      <formula>IF($B7="Quoting",TRUE,FALSE)</formula>
    </cfRule>
    <cfRule type="expression" dxfId="13969" priority="51625">
      <formula>IF($B7="Quoting",TRUE,FALSE)</formula>
    </cfRule>
    <cfRule type="expression" dxfId="13968" priority="51626">
      <formula>IF($B7="Quoting",TRUE,FALSE)</formula>
    </cfRule>
    <cfRule type="expression" dxfId="13967" priority="51627">
      <formula>IF($B7="Quoting",TRUE,FALSE)</formula>
    </cfRule>
    <cfRule type="expression" dxfId="13966" priority="51628">
      <formula>IF($B7="Quoting",TRUE,FALSE)</formula>
    </cfRule>
    <cfRule type="expression" dxfId="13965" priority="51629">
      <formula>IF($B7="Quoting",TRUE,FALSE)</formula>
    </cfRule>
    <cfRule type="expression" dxfId="13964" priority="51630">
      <formula>IF($B7="Quoting",TRUE,FALSE)</formula>
    </cfRule>
    <cfRule type="expression" dxfId="13963" priority="51631">
      <formula>IF($B7="Quoting",TRUE,FALSE)</formula>
    </cfRule>
    <cfRule type="expression" dxfId="13962" priority="51632">
      <formula>IF($B7="Quoting",TRUE,FALSE)</formula>
    </cfRule>
    <cfRule type="expression" dxfId="13961" priority="51633">
      <formula>IF($B7="Quoting",TRUE,FALSE)</formula>
    </cfRule>
    <cfRule type="expression" dxfId="13960" priority="51634">
      <formula>IF($B7="Quoting",TRUE,FALSE)</formula>
    </cfRule>
    <cfRule type="expression" dxfId="13959" priority="51635">
      <formula>IF($B7="Quoting",TRUE,FALSE)</formula>
    </cfRule>
    <cfRule type="expression" dxfId="13958" priority="51636">
      <formula>IF($B7="Quoting",TRUE,FALSE)</formula>
    </cfRule>
    <cfRule type="expression" dxfId="13957" priority="51637">
      <formula>IF($B7="Quoting",TRUE,FALSE)</formula>
    </cfRule>
    <cfRule type="expression" dxfId="13956" priority="51638">
      <formula>IF($B7="Quoting",TRUE,FALSE)</formula>
    </cfRule>
  </conditionalFormatting>
  <conditionalFormatting sqref="G8">
    <cfRule type="expression" dxfId="13955" priority="51172">
      <formula>IF($B8="VOID",TRUE,FALSE)</formula>
    </cfRule>
    <cfRule type="expression" dxfId="13954" priority="51173">
      <formula>IF($B8="VOID",TRUE,FALSE)</formula>
    </cfRule>
    <cfRule type="expression" dxfId="13953" priority="51174">
      <formula>IF($B8="VOID",TRUE,FALSE)</formula>
    </cfRule>
    <cfRule type="expression" dxfId="13952" priority="51175">
      <formula>IF($B8="VOID",TRUE,FALSE)</formula>
    </cfRule>
    <cfRule type="expression" dxfId="13951" priority="51176">
      <formula>IF($B8="VOID",TRUE,FALSE)</formula>
    </cfRule>
    <cfRule type="expression" dxfId="13950" priority="51177">
      <formula>IF($B8="VOID",TRUE,FALSE)</formula>
    </cfRule>
    <cfRule type="expression" dxfId="13949" priority="51178">
      <formula>IF($B8="VOID",TRUE,FALSE)</formula>
    </cfRule>
    <cfRule type="expression" dxfId="13948" priority="51179">
      <formula>IF($B8="VOID",TRUE,FALSE)</formula>
    </cfRule>
    <cfRule type="expression" dxfId="13947" priority="51180">
      <formula>IF($B8="VOID",TRUE,FALSE)</formula>
    </cfRule>
    <cfRule type="expression" dxfId="13946" priority="51181">
      <formula>IF($B8="VOID",TRUE,FALSE)</formula>
    </cfRule>
    <cfRule type="expression" dxfId="13945" priority="51182">
      <formula>IF($B8="VOID",TRUE,FALSE)</formula>
    </cfRule>
    <cfRule type="expression" dxfId="13944" priority="51183">
      <formula>IF($B8="VOID",TRUE,FALSE)</formula>
    </cfRule>
    <cfRule type="expression" dxfId="13943" priority="51184">
      <formula>IF($B8="VOID",TRUE,FALSE)</formula>
    </cfRule>
    <cfRule type="expression" dxfId="13942" priority="51185">
      <formula>IF($B8="Quoting",TRUE,FALSE)</formula>
    </cfRule>
    <cfRule type="expression" dxfId="13941" priority="51186">
      <formula>IF($B8="VOID",TRUE,FALSE)</formula>
    </cfRule>
    <cfRule type="expression" dxfId="13940" priority="51187">
      <formula>IF($B8="Quoting",TRUE,FALSE)</formula>
    </cfRule>
    <cfRule type="expression" dxfId="13939" priority="51188">
      <formula>IF($B8="VOID",TRUE,FALSE)</formula>
    </cfRule>
    <cfRule type="expression" dxfId="13938" priority="51189">
      <formula>IF($B8="Quoting",TRUE,FALSE)</formula>
    </cfRule>
    <cfRule type="expression" dxfId="13937" priority="51190">
      <formula>IF($B8="Quoting",TRUE,FALSE)</formula>
    </cfRule>
    <cfRule type="expression" dxfId="13936" priority="51191">
      <formula>IF($B8="VOID",TRUE,FALSE)</formula>
    </cfRule>
    <cfRule type="expression" dxfId="13935" priority="51192">
      <formula>IF($B8="Quoting",TRUE,FALSE)</formula>
    </cfRule>
    <cfRule type="expression" dxfId="13934" priority="51193">
      <formula>IF($B8="Quoting",TRUE,FALSE)</formula>
    </cfRule>
    <cfRule type="expression" dxfId="13933" priority="51194">
      <formula>IF($B8="VOID",TRUE,FALSE)</formula>
    </cfRule>
    <cfRule type="expression" dxfId="13932" priority="51195">
      <formula>IF($B8="VOID",TRUE,FALSE)</formula>
    </cfRule>
    <cfRule type="expression" dxfId="13931" priority="51196">
      <formula>IF($B8="VOID",TRUE,FALSE)</formula>
    </cfRule>
    <cfRule type="expression" dxfId="13930" priority="51197">
      <formula>IF($B8="VOID",TRUE,FALSE)</formula>
    </cfRule>
    <cfRule type="expression" dxfId="13929" priority="51198">
      <formula>IF($B8="VOID",TRUE,FALSE)</formula>
    </cfRule>
    <cfRule type="expression" dxfId="13928" priority="51199">
      <formula>IF($B8="Quoting",TRUE,FALSE)</formula>
    </cfRule>
    <cfRule type="expression" dxfId="13927" priority="51200">
      <formula>IF($B8="VOID",TRUE,FALSE)</formula>
    </cfRule>
    <cfRule type="expression" dxfId="13926" priority="51201">
      <formula>IF($B8="Quoting",TRUE,FALSE)</formula>
    </cfRule>
    <cfRule type="expression" dxfId="13925" priority="51202">
      <formula>IF($B8="VOID",TRUE,FALSE)</formula>
    </cfRule>
    <cfRule type="expression" dxfId="13924" priority="51208">
      <formula>IF($B8="Quoting",TRUE,FALSE)</formula>
    </cfRule>
    <cfRule type="expression" dxfId="13923" priority="51210">
      <formula>IF($B8="Quoting",TRUE,FALSE)</formula>
    </cfRule>
    <cfRule type="expression" dxfId="13922" priority="51211">
      <formula>IF($B8="VOID",TRUE,FALSE)</formula>
    </cfRule>
    <cfRule type="expression" dxfId="13921" priority="51212">
      <formula>IF($B8="Quoting",TRUE,FALSE)</formula>
    </cfRule>
    <cfRule type="expression" dxfId="13920" priority="51214">
      <formula>IF($B8="Quoting",TRUE,FALSE)</formula>
    </cfRule>
    <cfRule type="expression" dxfId="13919" priority="51234">
      <formula>IF($B8="Quoting",TRUE,FALSE)</formula>
    </cfRule>
    <cfRule type="expression" dxfId="13918" priority="51235">
      <formula>IF($B8="Quoting",TRUE,FALSE)</formula>
    </cfRule>
    <cfRule type="expression" dxfId="13917" priority="51236">
      <formula>IF($B8="Quoting",TRUE,FALSE)</formula>
    </cfRule>
    <cfRule type="expression" dxfId="13916" priority="51237">
      <formula>IF($B8="Quoting",TRUE,FALSE)</formula>
    </cfRule>
    <cfRule type="expression" dxfId="13915" priority="51238">
      <formula>IF($B8="Quoting",TRUE,FALSE)</formula>
    </cfRule>
    <cfRule type="expression" dxfId="13914" priority="51239">
      <formula>IF($B8="Quoting",TRUE,FALSE)</formula>
    </cfRule>
    <cfRule type="expression" dxfId="13913" priority="51240">
      <formula>IF($B8="Quoting",TRUE,FALSE)</formula>
    </cfRule>
    <cfRule type="expression" dxfId="13912" priority="51241">
      <formula>IF($B8="Quoting",TRUE,FALSE)</formula>
    </cfRule>
    <cfRule type="expression" dxfId="13911" priority="51242">
      <formula>IF($B8="Quoting",TRUE,FALSE)</formula>
    </cfRule>
    <cfRule type="expression" dxfId="13910" priority="51243">
      <formula>IF($B8="Quoting",TRUE,FALSE)</formula>
    </cfRule>
    <cfRule type="expression" dxfId="13909" priority="51244">
      <formula>IF($B8="Quoting",TRUE,FALSE)</formula>
    </cfRule>
    <cfRule type="expression" dxfId="13908" priority="51245">
      <formula>IF($B8="Quoting",TRUE,FALSE)</formula>
    </cfRule>
    <cfRule type="expression" dxfId="13907" priority="51246">
      <formula>IF($B8="Quoting",TRUE,FALSE)</formula>
    </cfRule>
    <cfRule type="expression" dxfId="13906" priority="51247">
      <formula>IF($B8="Quoting",TRUE,FALSE)</formula>
    </cfRule>
    <cfRule type="expression" dxfId="13905" priority="51248">
      <formula>IF($B8="Quoting",TRUE,FALSE)</formula>
    </cfRule>
    <cfRule type="expression" dxfId="13904" priority="51249">
      <formula>IF($B8="Quoting",TRUE,FALSE)</formula>
    </cfRule>
    <cfRule type="expression" dxfId="13903" priority="51250">
      <formula>IF($B8="Quoting",TRUE,FALSE)</formula>
    </cfRule>
    <cfRule type="expression" dxfId="13902" priority="51251">
      <formula>IF($B8="Quoting",TRUE,FALSE)</formula>
    </cfRule>
    <cfRule type="expression" dxfId="13901" priority="51252">
      <formula>IF($B8="Quoting",TRUE,FALSE)</formula>
    </cfRule>
    <cfRule type="expression" dxfId="13900" priority="51253">
      <formula>IF($B8="Quoting",TRUE,FALSE)</formula>
    </cfRule>
    <cfRule type="expression" dxfId="13899" priority="51254">
      <formula>IF($B8="Quoting",TRUE,FALSE)</formula>
    </cfRule>
    <cfRule type="expression" dxfId="13898" priority="51255">
      <formula>IF($B8="Quoting",TRUE,FALSE)</formula>
    </cfRule>
    <cfRule type="expression" dxfId="13897" priority="51256">
      <formula>IF($B8="Quoting",TRUE,FALSE)</formula>
    </cfRule>
    <cfRule type="expression" dxfId="13896" priority="51257">
      <formula>IF($B8="Quoting",TRUE,FALSE)</formula>
    </cfRule>
    <cfRule type="expression" dxfId="13895" priority="51258">
      <formula>IF($B8="Quoting",TRUE,FALSE)</formula>
    </cfRule>
    <cfRule type="expression" dxfId="13894" priority="51259">
      <formula>IF($B8="Quoting",TRUE,FALSE)</formula>
    </cfRule>
    <cfRule type="expression" dxfId="13893" priority="51260">
      <formula>IF($B8="Quoting",TRUE,FALSE)</formula>
    </cfRule>
    <cfRule type="expression" dxfId="13892" priority="51261">
      <formula>IF($B8="Quoting",TRUE,FALSE)</formula>
    </cfRule>
    <cfRule type="expression" dxfId="13891" priority="51262">
      <formula>IF($B8="Quoting",TRUE,FALSE)</formula>
    </cfRule>
    <cfRule type="expression" dxfId="13890" priority="51263">
      <formula>IF($B8="Quoting",TRUE,FALSE)</formula>
    </cfRule>
    <cfRule type="expression" dxfId="13889" priority="51264">
      <formula>IF($B8="Quoting",TRUE,FALSE)</formula>
    </cfRule>
    <cfRule type="expression" dxfId="13888" priority="51265">
      <formula>IF($B8="Quoting",TRUE,FALSE)</formula>
    </cfRule>
    <cfRule type="expression" dxfId="13887" priority="51266">
      <formula>IF($B8="Quoting",TRUE,FALSE)</formula>
    </cfRule>
    <cfRule type="expression" dxfId="13886" priority="51267">
      <formula>IF($B8="Quoting",TRUE,FALSE)</formula>
    </cfRule>
    <cfRule type="expression" dxfId="13885" priority="51268">
      <formula>IF($B8="Quoting",TRUE,FALSE)</formula>
    </cfRule>
    <cfRule type="expression" dxfId="13884" priority="51269">
      <formula>IF($B8="Quoting",TRUE,FALSE)</formula>
    </cfRule>
    <cfRule type="expression" dxfId="13883" priority="51270">
      <formula>IF($B8="Quoting",TRUE,FALSE)</formula>
    </cfRule>
    <cfRule type="expression" dxfId="13882" priority="51271">
      <formula>IF($B8="Quoting",TRUE,FALSE)</formula>
    </cfRule>
    <cfRule type="expression" dxfId="13881" priority="51272">
      <formula>IF($B8="Quoting",TRUE,FALSE)</formula>
    </cfRule>
    <cfRule type="expression" dxfId="13880" priority="51273">
      <formula>IF($B8="Quoting",TRUE,FALSE)</formula>
    </cfRule>
    <cfRule type="expression" dxfId="13879" priority="51274">
      <formula>IF($B8="Quoting",TRUE,FALSE)</formula>
    </cfRule>
    <cfRule type="expression" dxfId="13878" priority="51275">
      <formula>IF($B8="Quoting",TRUE,FALSE)</formula>
    </cfRule>
    <cfRule type="expression" dxfId="13877" priority="51276">
      <formula>IF($B8="Quoting",TRUE,FALSE)</formula>
    </cfRule>
    <cfRule type="expression" dxfId="13876" priority="51277">
      <formula>IF($B8="Quoting",TRUE,FALSE)</formula>
    </cfRule>
    <cfRule type="expression" dxfId="13875" priority="51278">
      <formula>IF($B8="Quoting",TRUE,FALSE)</formula>
    </cfRule>
    <cfRule type="expression" dxfId="13874" priority="51279">
      <formula>IF($B8="Quoting",TRUE,FALSE)</formula>
    </cfRule>
    <cfRule type="expression" dxfId="13873" priority="51280">
      <formula>IF($B8="Quoting",TRUE,FALSE)</formula>
    </cfRule>
    <cfRule type="expression" dxfId="13872" priority="51281">
      <formula>IF($B8="Quoting",TRUE,FALSE)</formula>
    </cfRule>
    <cfRule type="expression" dxfId="13871" priority="51282">
      <formula>IF($B8="Quoting",TRUE,FALSE)</formula>
    </cfRule>
    <cfRule type="expression" dxfId="13870" priority="51283">
      <formula>IF($B8="Quoting",TRUE,FALSE)</formula>
    </cfRule>
    <cfRule type="expression" dxfId="13869" priority="51284">
      <formula>IF($B8="Quoting",TRUE,FALSE)</formula>
    </cfRule>
    <cfRule type="expression" dxfId="13868" priority="51285">
      <formula>IF($B8="Quoting",TRUE,FALSE)</formula>
    </cfRule>
    <cfRule type="expression" dxfId="13867" priority="51286">
      <formula>IF($B8="Quoting",TRUE,FALSE)</formula>
    </cfRule>
    <cfRule type="expression" dxfId="13866" priority="51287">
      <formula>IF($B8="Quoting",TRUE,FALSE)</formula>
    </cfRule>
    <cfRule type="expression" dxfId="13865" priority="51288">
      <formula>IF($B8="Quoting",TRUE,FALSE)</formula>
    </cfRule>
    <cfRule type="expression" dxfId="13864" priority="51289">
      <formula>IF($B8="Quoting",TRUE,FALSE)</formula>
    </cfRule>
    <cfRule type="expression" dxfId="13863" priority="51290">
      <formula>IF($B8="Quoting",TRUE,FALSE)</formula>
    </cfRule>
    <cfRule type="expression" dxfId="13862" priority="51291">
      <formula>IF($B8="Quoting",TRUE,FALSE)</formula>
    </cfRule>
    <cfRule type="expression" dxfId="13861" priority="51292">
      <formula>IF($B8="Quoting",TRUE,FALSE)</formula>
    </cfRule>
    <cfRule type="expression" dxfId="13860" priority="51293">
      <formula>IF($B8="Quoting",TRUE,FALSE)</formula>
    </cfRule>
    <cfRule type="expression" dxfId="13859" priority="51294">
      <formula>IF($B8="Quoting",TRUE,FALSE)</formula>
    </cfRule>
    <cfRule type="expression" dxfId="13858" priority="51295">
      <formula>IF($B8="Quoting",TRUE,FALSE)</formula>
    </cfRule>
    <cfRule type="expression" dxfId="13857" priority="51296">
      <formula>IF($B8="Quoting",TRUE,FALSE)</formula>
    </cfRule>
    <cfRule type="expression" dxfId="13856" priority="51297">
      <formula>IF($B8="Quoting",TRUE,FALSE)</formula>
    </cfRule>
    <cfRule type="expression" dxfId="13855" priority="51298">
      <formula>IF($B8="Quoting",TRUE,FALSE)</formula>
    </cfRule>
    <cfRule type="expression" dxfId="13854" priority="51299">
      <formula>IF($B8="Quoting",TRUE,FALSE)</formula>
    </cfRule>
    <cfRule type="expression" dxfId="13853" priority="51300">
      <formula>IF($B8="Quoting",TRUE,FALSE)</formula>
    </cfRule>
    <cfRule type="expression" dxfId="13852" priority="51301">
      <formula>IF($B8="Quoting",TRUE,FALSE)</formula>
    </cfRule>
    <cfRule type="expression" dxfId="13851" priority="51302">
      <formula>IF($B8="Quoting",TRUE,FALSE)</formula>
    </cfRule>
    <cfRule type="expression" dxfId="13850" priority="51399">
      <formula>IF($B8="Quoting",TRUE,FALSE)</formula>
    </cfRule>
  </conditionalFormatting>
  <conditionalFormatting sqref="G9">
    <cfRule type="expression" dxfId="13849" priority="50926">
      <formula>IF($B9="Quoting",TRUE,FALSE)</formula>
    </cfRule>
    <cfRule type="expression" dxfId="13848" priority="50969">
      <formula>IF($B9="VOID",TRUE,FALSE)</formula>
    </cfRule>
    <cfRule type="expression" dxfId="13847" priority="50970">
      <formula>IF($B9="VOID",TRUE,FALSE)</formula>
    </cfRule>
    <cfRule type="expression" dxfId="13846" priority="50971">
      <formula>IF($B9="VOID",TRUE,FALSE)</formula>
    </cfRule>
    <cfRule type="expression" dxfId="13845" priority="50972">
      <formula>IF($B9="VOID",TRUE,FALSE)</formula>
    </cfRule>
    <cfRule type="expression" dxfId="13844" priority="50973">
      <formula>IF($B9="VOID",TRUE,FALSE)</formula>
    </cfRule>
    <cfRule type="expression" dxfId="13843" priority="50974">
      <formula>IF($B9="VOID",TRUE,FALSE)</formula>
    </cfRule>
    <cfRule type="expression" dxfId="13842" priority="50975">
      <formula>IF($B9="VOID",TRUE,FALSE)</formula>
    </cfRule>
    <cfRule type="expression" dxfId="13841" priority="50976">
      <formula>IF($B9="VOID",TRUE,FALSE)</formula>
    </cfRule>
    <cfRule type="expression" dxfId="13840" priority="50977">
      <formula>IF($B9="VOID",TRUE,FALSE)</formula>
    </cfRule>
    <cfRule type="expression" dxfId="13839" priority="50978">
      <formula>IF($B9="VOID",TRUE,FALSE)</formula>
    </cfRule>
    <cfRule type="expression" dxfId="13838" priority="50979">
      <formula>IF($B9="VOID",TRUE,FALSE)</formula>
    </cfRule>
    <cfRule type="expression" dxfId="13837" priority="50980">
      <formula>IF($B9="VOID",TRUE,FALSE)</formula>
    </cfRule>
    <cfRule type="expression" dxfId="13836" priority="50981">
      <formula>IF($B9="VOID",TRUE,FALSE)</formula>
    </cfRule>
    <cfRule type="expression" dxfId="13835" priority="50982">
      <formula>IF($B9="Quoting",TRUE,FALSE)</formula>
    </cfRule>
    <cfRule type="expression" dxfId="13834" priority="50983">
      <formula>IF($B9="VOID",TRUE,FALSE)</formula>
    </cfRule>
    <cfRule type="expression" dxfId="13833" priority="50984">
      <formula>IF($B9="Quoting",TRUE,FALSE)</formula>
    </cfRule>
    <cfRule type="expression" dxfId="13832" priority="50985">
      <formula>IF($B9="VOID",TRUE,FALSE)</formula>
    </cfRule>
    <cfRule type="expression" dxfId="13831" priority="50986">
      <formula>IF($B9="Quoting",TRUE,FALSE)</formula>
    </cfRule>
    <cfRule type="expression" dxfId="13830" priority="50987">
      <formula>IF($B9="Quoting",TRUE,FALSE)</formula>
    </cfRule>
    <cfRule type="expression" dxfId="13829" priority="50988">
      <formula>IF($B9="VOID",TRUE,FALSE)</formula>
    </cfRule>
    <cfRule type="expression" dxfId="13828" priority="50989">
      <formula>IF($B9="Quoting",TRUE,FALSE)</formula>
    </cfRule>
    <cfRule type="expression" dxfId="13827" priority="50990">
      <formula>IF($B9="Quoting",TRUE,FALSE)</formula>
    </cfRule>
    <cfRule type="expression" dxfId="13826" priority="50991">
      <formula>IF($B9="VOID",TRUE,FALSE)</formula>
    </cfRule>
    <cfRule type="expression" dxfId="13825" priority="50992">
      <formula>IF($B9="VOID",TRUE,FALSE)</formula>
    </cfRule>
    <cfRule type="expression" dxfId="13824" priority="50993">
      <formula>IF($B9="VOID",TRUE,FALSE)</formula>
    </cfRule>
    <cfRule type="expression" dxfId="13823" priority="50994">
      <formula>IF($B9="VOID",TRUE,FALSE)</formula>
    </cfRule>
    <cfRule type="expression" dxfId="13822" priority="50995">
      <formula>IF($B9="VOID",TRUE,FALSE)</formula>
    </cfRule>
    <cfRule type="expression" dxfId="13821" priority="50996">
      <formula>IF($B9="Quoting",TRUE,FALSE)</formula>
    </cfRule>
    <cfRule type="expression" dxfId="13820" priority="50997">
      <formula>IF($B9="VOID",TRUE,FALSE)</formula>
    </cfRule>
    <cfRule type="expression" dxfId="13819" priority="50998">
      <formula>IF($B9="Quoting",TRUE,FALSE)</formula>
    </cfRule>
    <cfRule type="expression" dxfId="13818" priority="50999">
      <formula>IF($B9="VOID",TRUE,FALSE)</formula>
    </cfRule>
    <cfRule type="expression" dxfId="13817" priority="51005">
      <formula>IF($B9="Quoting",TRUE,FALSE)</formula>
    </cfRule>
    <cfRule type="expression" dxfId="13816" priority="51007">
      <formula>IF($B9="Quoting",TRUE,FALSE)</formula>
    </cfRule>
    <cfRule type="expression" dxfId="13815" priority="51008">
      <formula>IF($B9="VOID",TRUE,FALSE)</formula>
    </cfRule>
    <cfRule type="expression" dxfId="13814" priority="51009">
      <formula>IF($B9="Quoting",TRUE,FALSE)</formula>
    </cfRule>
    <cfRule type="expression" dxfId="13813" priority="51011">
      <formula>IF($B9="Quoting",TRUE,FALSE)</formula>
    </cfRule>
    <cfRule type="expression" dxfId="13812" priority="51012">
      <formula>IF($B9="Quoting",TRUE,FALSE)</formula>
    </cfRule>
    <cfRule type="expression" dxfId="13811" priority="51013">
      <formula>IF($B9="Quoting",TRUE,FALSE)</formula>
    </cfRule>
    <cfRule type="expression" dxfId="13810" priority="51014">
      <formula>IF($B9="Quoting",TRUE,FALSE)</formula>
    </cfRule>
    <cfRule type="expression" dxfId="13809" priority="51015">
      <formula>IF($B9="Quoting",TRUE,FALSE)</formula>
    </cfRule>
    <cfRule type="expression" dxfId="13808" priority="51016">
      <formula>IF($B9="Quoting",TRUE,FALSE)</formula>
    </cfRule>
    <cfRule type="expression" dxfId="13807" priority="51017">
      <formula>IF($B9="Quoting",TRUE,FALSE)</formula>
    </cfRule>
    <cfRule type="expression" dxfId="13806" priority="51018">
      <formula>IF($B9="Quoting",TRUE,FALSE)</formula>
    </cfRule>
    <cfRule type="expression" dxfId="13805" priority="51019">
      <formula>IF($B9="Quoting",TRUE,FALSE)</formula>
    </cfRule>
    <cfRule type="expression" dxfId="13804" priority="51020">
      <formula>IF($B9="Quoting",TRUE,FALSE)</formula>
    </cfRule>
    <cfRule type="expression" dxfId="13803" priority="51021">
      <formula>IF($B9="Quoting",TRUE,FALSE)</formula>
    </cfRule>
    <cfRule type="expression" dxfId="13802" priority="51022">
      <formula>IF($B9="Quoting",TRUE,FALSE)</formula>
    </cfRule>
    <cfRule type="expression" dxfId="13801" priority="51023">
      <formula>IF($B9="Quoting",TRUE,FALSE)</formula>
    </cfRule>
    <cfRule type="expression" dxfId="13800" priority="51024">
      <formula>IF($B9="Quoting",TRUE,FALSE)</formula>
    </cfRule>
    <cfRule type="expression" dxfId="13799" priority="51025">
      <formula>IF($B9="Quoting",TRUE,FALSE)</formula>
    </cfRule>
    <cfRule type="expression" dxfId="13798" priority="51026">
      <formula>IF($B9="Quoting",TRUE,FALSE)</formula>
    </cfRule>
    <cfRule type="expression" dxfId="13797" priority="51027">
      <formula>IF($B9="Quoting",TRUE,FALSE)</formula>
    </cfRule>
    <cfRule type="expression" dxfId="13796" priority="51028">
      <formula>IF($B9="Quoting",TRUE,FALSE)</formula>
    </cfRule>
    <cfRule type="expression" dxfId="13795" priority="51029">
      <formula>IF($B9="Quoting",TRUE,FALSE)</formula>
    </cfRule>
    <cfRule type="expression" dxfId="13794" priority="51030">
      <formula>IF($B9="Quoting",TRUE,FALSE)</formula>
    </cfRule>
    <cfRule type="expression" dxfId="13793" priority="51031">
      <formula>IF($B9="Quoting",TRUE,FALSE)</formula>
    </cfRule>
    <cfRule type="expression" dxfId="13792" priority="51032">
      <formula>IF($B9="Quoting",TRUE,FALSE)</formula>
    </cfRule>
    <cfRule type="expression" dxfId="13791" priority="51033">
      <formula>IF($B9="Quoting",TRUE,FALSE)</formula>
    </cfRule>
    <cfRule type="expression" dxfId="13790" priority="51034">
      <formula>IF($B9="Quoting",TRUE,FALSE)</formula>
    </cfRule>
    <cfRule type="expression" dxfId="13789" priority="51035">
      <formula>IF($B9="Quoting",TRUE,FALSE)</formula>
    </cfRule>
    <cfRule type="expression" dxfId="13788" priority="51036">
      <formula>IF($B9="Quoting",TRUE,FALSE)</formula>
    </cfRule>
    <cfRule type="expression" dxfId="13787" priority="51037">
      <formula>IF($B9="Quoting",TRUE,FALSE)</formula>
    </cfRule>
    <cfRule type="expression" dxfId="13786" priority="51038">
      <formula>IF($B9="Quoting",TRUE,FALSE)</formula>
    </cfRule>
    <cfRule type="expression" dxfId="13785" priority="51039">
      <formula>IF($B9="Quoting",TRUE,FALSE)</formula>
    </cfRule>
    <cfRule type="expression" dxfId="13784" priority="51040">
      <formula>IF($B9="Quoting",TRUE,FALSE)</formula>
    </cfRule>
    <cfRule type="expression" dxfId="13783" priority="51041">
      <formula>IF($B9="Quoting",TRUE,FALSE)</formula>
    </cfRule>
    <cfRule type="expression" dxfId="13782" priority="51042">
      <formula>IF($B9="Quoting",TRUE,FALSE)</formula>
    </cfRule>
    <cfRule type="expression" dxfId="13781" priority="51043">
      <formula>IF($B9="Quoting",TRUE,FALSE)</formula>
    </cfRule>
    <cfRule type="expression" dxfId="13780" priority="51044">
      <formula>IF($B9="Quoting",TRUE,FALSE)</formula>
    </cfRule>
    <cfRule type="expression" dxfId="13779" priority="51045">
      <formula>IF($B9="Quoting",TRUE,FALSE)</formula>
    </cfRule>
    <cfRule type="expression" dxfId="13778" priority="51046">
      <formula>IF($B9="Quoting",TRUE,FALSE)</formula>
    </cfRule>
    <cfRule type="expression" dxfId="13777" priority="51047">
      <formula>IF($B9="Quoting",TRUE,FALSE)</formula>
    </cfRule>
    <cfRule type="expression" dxfId="13776" priority="51048">
      <formula>IF($B9="Quoting",TRUE,FALSE)</formula>
    </cfRule>
    <cfRule type="expression" dxfId="13775" priority="51049">
      <formula>IF($B9="Quoting",TRUE,FALSE)</formula>
    </cfRule>
    <cfRule type="expression" dxfId="13774" priority="51050">
      <formula>IF($B9="Quoting",TRUE,FALSE)</formula>
    </cfRule>
    <cfRule type="expression" dxfId="13773" priority="51051">
      <formula>IF($B9="Quoting",TRUE,FALSE)</formula>
    </cfRule>
    <cfRule type="expression" dxfId="13772" priority="51052">
      <formula>IF($B9="Quoting",TRUE,FALSE)</formula>
    </cfRule>
    <cfRule type="expression" dxfId="13771" priority="51053">
      <formula>IF($B9="Quoting",TRUE,FALSE)</formula>
    </cfRule>
    <cfRule type="expression" dxfId="13770" priority="51054">
      <formula>IF($B9="Quoting",TRUE,FALSE)</formula>
    </cfRule>
    <cfRule type="expression" dxfId="13769" priority="51055">
      <formula>IF($B9="Quoting",TRUE,FALSE)</formula>
    </cfRule>
    <cfRule type="expression" dxfId="13768" priority="51056">
      <formula>IF($B9="Quoting",TRUE,FALSE)</formula>
    </cfRule>
    <cfRule type="expression" dxfId="13767" priority="51057">
      <formula>IF($B9="Quoting",TRUE,FALSE)</formula>
    </cfRule>
    <cfRule type="expression" dxfId="13766" priority="51058">
      <formula>IF($B9="Quoting",TRUE,FALSE)</formula>
    </cfRule>
    <cfRule type="expression" dxfId="13765" priority="51059">
      <formula>IF($B9="Quoting",TRUE,FALSE)</formula>
    </cfRule>
    <cfRule type="expression" dxfId="13764" priority="51060">
      <formula>IF($B9="Quoting",TRUE,FALSE)</formula>
    </cfRule>
    <cfRule type="expression" dxfId="13763" priority="51061">
      <formula>IF($B9="Quoting",TRUE,FALSE)</formula>
    </cfRule>
    <cfRule type="expression" dxfId="13762" priority="51062">
      <formula>IF($B9="Quoting",TRUE,FALSE)</formula>
    </cfRule>
    <cfRule type="expression" dxfId="13761" priority="51063">
      <formula>IF($B9="Quoting",TRUE,FALSE)</formula>
    </cfRule>
    <cfRule type="expression" dxfId="13760" priority="51064">
      <formula>IF($B9="Quoting",TRUE,FALSE)</formula>
    </cfRule>
    <cfRule type="expression" dxfId="13759" priority="51065">
      <formula>IF($B9="Quoting",TRUE,FALSE)</formula>
    </cfRule>
    <cfRule type="expression" dxfId="13758" priority="51066">
      <formula>IF($B9="Quoting",TRUE,FALSE)</formula>
    </cfRule>
    <cfRule type="expression" dxfId="13757" priority="51067">
      <formula>IF($B9="Quoting",TRUE,FALSE)</formula>
    </cfRule>
    <cfRule type="expression" dxfId="13756" priority="51068">
      <formula>IF($B9="Quoting",TRUE,FALSE)</formula>
    </cfRule>
    <cfRule type="expression" dxfId="13755" priority="51069">
      <formula>IF($B9="Quoting",TRUE,FALSE)</formula>
    </cfRule>
    <cfRule type="expression" dxfId="13754" priority="51070">
      <formula>IF($B9="Quoting",TRUE,FALSE)</formula>
    </cfRule>
    <cfRule type="expression" dxfId="13753" priority="51071">
      <formula>IF($B9="Quoting",TRUE,FALSE)</formula>
    </cfRule>
    <cfRule type="expression" dxfId="13752" priority="51072">
      <formula>IF($B9="Quoting",TRUE,FALSE)</formula>
    </cfRule>
    <cfRule type="expression" dxfId="13751" priority="51073">
      <formula>IF($B9="Quoting",TRUE,FALSE)</formula>
    </cfRule>
    <cfRule type="expression" dxfId="13750" priority="51074">
      <formula>IF($B9="Quoting",TRUE,FALSE)</formula>
    </cfRule>
    <cfRule type="expression" dxfId="13749" priority="51075">
      <formula>IF($B9="Quoting",TRUE,FALSE)</formula>
    </cfRule>
    <cfRule type="expression" dxfId="13748" priority="51076">
      <formula>IF($B9="Quoting",TRUE,FALSE)</formula>
    </cfRule>
    <cfRule type="expression" dxfId="13747" priority="51077">
      <formula>IF($B9="Quoting",TRUE,FALSE)</formula>
    </cfRule>
    <cfRule type="expression" dxfId="13746" priority="51078">
      <formula>IF($B9="Quoting",TRUE,FALSE)</formula>
    </cfRule>
    <cfRule type="expression" dxfId="13745" priority="51079">
      <formula>IF($B9="Quoting",TRUE,FALSE)</formula>
    </cfRule>
    <cfRule type="expression" dxfId="13744" priority="51080">
      <formula>IF($B9="Quoting",TRUE,FALSE)</formula>
    </cfRule>
  </conditionalFormatting>
  <conditionalFormatting sqref="G10">
    <cfRule type="expression" dxfId="13743" priority="50611">
      <formula>IF($B10="VOID",TRUE,FALSE)</formula>
    </cfRule>
    <cfRule type="expression" dxfId="13742" priority="50612">
      <formula>IF($B10="VOID",TRUE,FALSE)</formula>
    </cfRule>
    <cfRule type="expression" dxfId="13741" priority="50613">
      <formula>IF($B10="VOID",TRUE,FALSE)</formula>
    </cfRule>
    <cfRule type="expression" dxfId="13740" priority="50614">
      <formula>IF($B10="VOID",TRUE,FALSE)</formula>
    </cfRule>
    <cfRule type="expression" dxfId="13739" priority="50615">
      <formula>IF($B10="VOID",TRUE,FALSE)</formula>
    </cfRule>
    <cfRule type="expression" dxfId="13738" priority="50616">
      <formula>IF($B10="VOID",TRUE,FALSE)</formula>
    </cfRule>
    <cfRule type="expression" dxfId="13737" priority="50617">
      <formula>IF($B10="VOID",TRUE,FALSE)</formula>
    </cfRule>
    <cfRule type="expression" dxfId="13736" priority="50618">
      <formula>IF($B10="VOID",TRUE,FALSE)</formula>
    </cfRule>
    <cfRule type="expression" dxfId="13735" priority="50619">
      <formula>IF($B10="VOID",TRUE,FALSE)</formula>
    </cfRule>
    <cfRule type="expression" dxfId="13734" priority="50620">
      <formula>IF($B10="VOID",TRUE,FALSE)</formula>
    </cfRule>
    <cfRule type="expression" dxfId="13733" priority="50621">
      <formula>IF($B10="VOID",TRUE,FALSE)</formula>
    </cfRule>
    <cfRule type="expression" dxfId="13732" priority="50622">
      <formula>IF($B10="VOID",TRUE,FALSE)</formula>
    </cfRule>
    <cfRule type="expression" dxfId="13731" priority="50623">
      <formula>IF($B10="VOID",TRUE,FALSE)</formula>
    </cfRule>
    <cfRule type="expression" dxfId="13730" priority="50624">
      <formula>IF($B10="Quoting",TRUE,FALSE)</formula>
    </cfRule>
    <cfRule type="expression" dxfId="13729" priority="50625">
      <formula>IF($B10="VOID",TRUE,FALSE)</formula>
    </cfRule>
    <cfRule type="expression" dxfId="13728" priority="50626">
      <formula>IF($B10="Quoting",TRUE,FALSE)</formula>
    </cfRule>
    <cfRule type="expression" dxfId="13727" priority="50627">
      <formula>IF($B10="VOID",TRUE,FALSE)</formula>
    </cfRule>
    <cfRule type="expression" dxfId="13726" priority="50628">
      <formula>IF($B10="Quoting",TRUE,FALSE)</formula>
    </cfRule>
    <cfRule type="expression" dxfId="13725" priority="50629">
      <formula>IF($B10="Quoting",TRUE,FALSE)</formula>
    </cfRule>
    <cfRule type="expression" dxfId="13724" priority="50630">
      <formula>IF($B10="VOID",TRUE,FALSE)</formula>
    </cfRule>
    <cfRule type="expression" dxfId="13723" priority="50631">
      <formula>IF($B10="Quoting",TRUE,FALSE)</formula>
    </cfRule>
    <cfRule type="expression" dxfId="13722" priority="50632">
      <formula>IF($B10="Quoting",TRUE,FALSE)</formula>
    </cfRule>
    <cfRule type="expression" dxfId="13721" priority="50633">
      <formula>IF($B10="VOID",TRUE,FALSE)</formula>
    </cfRule>
    <cfRule type="expression" dxfId="13720" priority="50634">
      <formula>IF($B10="VOID",TRUE,FALSE)</formula>
    </cfRule>
    <cfRule type="expression" dxfId="13719" priority="50635">
      <formula>IF($B10="VOID",TRUE,FALSE)</formula>
    </cfRule>
    <cfRule type="expression" dxfId="13718" priority="50636">
      <formula>IF($B10="VOID",TRUE,FALSE)</formula>
    </cfRule>
    <cfRule type="expression" dxfId="13717" priority="50637">
      <formula>IF($B10="VOID",TRUE,FALSE)</formula>
    </cfRule>
    <cfRule type="expression" dxfId="13716" priority="50638">
      <formula>IF($B10="Quoting",TRUE,FALSE)</formula>
    </cfRule>
    <cfRule type="expression" dxfId="13715" priority="50639">
      <formula>IF($B10="VOID",TRUE,FALSE)</formula>
    </cfRule>
    <cfRule type="expression" dxfId="13714" priority="50640">
      <formula>IF($B10="Quoting",TRUE,FALSE)</formula>
    </cfRule>
    <cfRule type="expression" dxfId="13713" priority="50641">
      <formula>IF($B10="VOID",TRUE,FALSE)</formula>
    </cfRule>
    <cfRule type="expression" dxfId="13712" priority="50647">
      <formula>IF($B10="Quoting",TRUE,FALSE)</formula>
    </cfRule>
    <cfRule type="expression" dxfId="13711" priority="50649">
      <formula>IF($B10="Quoting",TRUE,FALSE)</formula>
    </cfRule>
    <cfRule type="expression" dxfId="13710" priority="50650">
      <formula>IF($B10="VOID",TRUE,FALSE)</formula>
    </cfRule>
    <cfRule type="expression" dxfId="13709" priority="50651">
      <formula>IF($B10="Quoting",TRUE,FALSE)</formula>
    </cfRule>
    <cfRule type="expression" dxfId="13708" priority="50653">
      <formula>IF($B10="Quoting",TRUE,FALSE)</formula>
    </cfRule>
    <cfRule type="expression" dxfId="13707" priority="50673">
      <formula>IF($B10="Quoting",TRUE,FALSE)</formula>
    </cfRule>
    <cfRule type="expression" dxfId="13706" priority="50674">
      <formula>IF($B10="Quoting",TRUE,FALSE)</formula>
    </cfRule>
    <cfRule type="expression" dxfId="13705" priority="50675">
      <formula>IF($B10="Quoting",TRUE,FALSE)</formula>
    </cfRule>
    <cfRule type="expression" dxfId="13704" priority="50676">
      <formula>IF($B10="Quoting",TRUE,FALSE)</formula>
    </cfRule>
    <cfRule type="expression" dxfId="13703" priority="50677">
      <formula>IF($B10="Quoting",TRUE,FALSE)</formula>
    </cfRule>
    <cfRule type="expression" dxfId="13702" priority="50678">
      <formula>IF($B10="Quoting",TRUE,FALSE)</formula>
    </cfRule>
    <cfRule type="expression" dxfId="13701" priority="50679">
      <formula>IF($B10="Quoting",TRUE,FALSE)</formula>
    </cfRule>
    <cfRule type="expression" dxfId="13700" priority="50680">
      <formula>IF($B10="Quoting",TRUE,FALSE)</formula>
    </cfRule>
    <cfRule type="expression" dxfId="13699" priority="50681">
      <formula>IF($B10="Quoting",TRUE,FALSE)</formula>
    </cfRule>
    <cfRule type="expression" dxfId="13698" priority="50682">
      <formula>IF($B10="Quoting",TRUE,FALSE)</formula>
    </cfRule>
    <cfRule type="expression" dxfId="13697" priority="50683">
      <formula>IF($B10="Quoting",TRUE,FALSE)</formula>
    </cfRule>
    <cfRule type="expression" dxfId="13696" priority="50684">
      <formula>IF($B10="Quoting",TRUE,FALSE)</formula>
    </cfRule>
    <cfRule type="expression" dxfId="13695" priority="50685">
      <formula>IF($B10="Quoting",TRUE,FALSE)</formula>
    </cfRule>
    <cfRule type="expression" dxfId="13694" priority="50686">
      <formula>IF($B10="Quoting",TRUE,FALSE)</formula>
    </cfRule>
    <cfRule type="expression" dxfId="13693" priority="50687">
      <formula>IF($B10="Quoting",TRUE,FALSE)</formula>
    </cfRule>
    <cfRule type="expression" dxfId="13692" priority="50688">
      <formula>IF($B10="Quoting",TRUE,FALSE)</formula>
    </cfRule>
    <cfRule type="expression" dxfId="13691" priority="50689">
      <formula>IF($B10="Quoting",TRUE,FALSE)</formula>
    </cfRule>
    <cfRule type="expression" dxfId="13690" priority="50690">
      <formula>IF($B10="Quoting",TRUE,FALSE)</formula>
    </cfRule>
    <cfRule type="expression" dxfId="13689" priority="50691">
      <formula>IF($B10="Quoting",TRUE,FALSE)</formula>
    </cfRule>
    <cfRule type="expression" dxfId="13688" priority="50692">
      <formula>IF($B10="Quoting",TRUE,FALSE)</formula>
    </cfRule>
    <cfRule type="expression" dxfId="13687" priority="50693">
      <formula>IF($B10="Quoting",TRUE,FALSE)</formula>
    </cfRule>
    <cfRule type="expression" dxfId="13686" priority="50694">
      <formula>IF($B10="Quoting",TRUE,FALSE)</formula>
    </cfRule>
    <cfRule type="expression" dxfId="13685" priority="50695">
      <formula>IF($B10="Quoting",TRUE,FALSE)</formula>
    </cfRule>
    <cfRule type="expression" dxfId="13684" priority="50696">
      <formula>IF($B10="Quoting",TRUE,FALSE)</formula>
    </cfRule>
    <cfRule type="expression" dxfId="13683" priority="50697">
      <formula>IF($B10="Quoting",TRUE,FALSE)</formula>
    </cfRule>
    <cfRule type="expression" dxfId="13682" priority="50698">
      <formula>IF($B10="Quoting",TRUE,FALSE)</formula>
    </cfRule>
    <cfRule type="expression" dxfId="13681" priority="50699">
      <formula>IF($B10="Quoting",TRUE,FALSE)</formula>
    </cfRule>
    <cfRule type="expression" dxfId="13680" priority="50700">
      <formula>IF($B10="Quoting",TRUE,FALSE)</formula>
    </cfRule>
    <cfRule type="expression" dxfId="13679" priority="50701">
      <formula>IF($B10="Quoting",TRUE,FALSE)</formula>
    </cfRule>
    <cfRule type="expression" dxfId="13678" priority="50702">
      <formula>IF($B10="Quoting",TRUE,FALSE)</formula>
    </cfRule>
    <cfRule type="expression" dxfId="13677" priority="50703">
      <formula>IF($B10="Quoting",TRUE,FALSE)</formula>
    </cfRule>
    <cfRule type="expression" dxfId="13676" priority="50704">
      <formula>IF($B10="Quoting",TRUE,FALSE)</formula>
    </cfRule>
    <cfRule type="expression" dxfId="13675" priority="50705">
      <formula>IF($B10="Quoting",TRUE,FALSE)</formula>
    </cfRule>
    <cfRule type="expression" dxfId="13674" priority="50706">
      <formula>IF($B10="Quoting",TRUE,FALSE)</formula>
    </cfRule>
    <cfRule type="expression" dxfId="13673" priority="50707">
      <formula>IF($B10="Quoting",TRUE,FALSE)</formula>
    </cfRule>
    <cfRule type="expression" dxfId="13672" priority="50708">
      <formula>IF($B10="Quoting",TRUE,FALSE)</formula>
    </cfRule>
    <cfRule type="expression" dxfId="13671" priority="50709">
      <formula>IF($B10="Quoting",TRUE,FALSE)</formula>
    </cfRule>
    <cfRule type="expression" dxfId="13670" priority="50710">
      <formula>IF($B10="Quoting",TRUE,FALSE)</formula>
    </cfRule>
    <cfRule type="expression" dxfId="13669" priority="50711">
      <formula>IF($B10="Quoting",TRUE,FALSE)</formula>
    </cfRule>
    <cfRule type="expression" dxfId="13668" priority="50712">
      <formula>IF($B10="Quoting",TRUE,FALSE)</formula>
    </cfRule>
    <cfRule type="expression" dxfId="13667" priority="50713">
      <formula>IF($B10="Quoting",TRUE,FALSE)</formula>
    </cfRule>
    <cfRule type="expression" dxfId="13666" priority="50714">
      <formula>IF($B10="Quoting",TRUE,FALSE)</formula>
    </cfRule>
    <cfRule type="expression" dxfId="13665" priority="50715">
      <formula>IF($B10="Quoting",TRUE,FALSE)</formula>
    </cfRule>
    <cfRule type="expression" dxfId="13664" priority="50716">
      <formula>IF($B10="Quoting",TRUE,FALSE)</formula>
    </cfRule>
    <cfRule type="expression" dxfId="13663" priority="50717">
      <formula>IF($B10="Quoting",TRUE,FALSE)</formula>
    </cfRule>
    <cfRule type="expression" dxfId="13662" priority="50718">
      <formula>IF($B10="Quoting",TRUE,FALSE)</formula>
    </cfRule>
    <cfRule type="expression" dxfId="13661" priority="50719">
      <formula>IF($B10="Quoting",TRUE,FALSE)</formula>
    </cfRule>
    <cfRule type="expression" dxfId="13660" priority="50720">
      <formula>IF($B10="Quoting",TRUE,FALSE)</formula>
    </cfRule>
    <cfRule type="expression" dxfId="13659" priority="50721">
      <formula>IF($B10="Quoting",TRUE,FALSE)</formula>
    </cfRule>
    <cfRule type="expression" dxfId="13658" priority="50722">
      <formula>IF($B10="Quoting",TRUE,FALSE)</formula>
    </cfRule>
    <cfRule type="expression" dxfId="13657" priority="50723">
      <formula>IF($B10="Quoting",TRUE,FALSE)</formula>
    </cfRule>
    <cfRule type="expression" dxfId="13656" priority="50724">
      <formula>IF($B10="Quoting",TRUE,FALSE)</formula>
    </cfRule>
    <cfRule type="expression" dxfId="13655" priority="50725">
      <formula>IF($B10="Quoting",TRUE,FALSE)</formula>
    </cfRule>
    <cfRule type="expression" dxfId="13654" priority="50726">
      <formula>IF($B10="Quoting",TRUE,FALSE)</formula>
    </cfRule>
    <cfRule type="expression" dxfId="13653" priority="50727">
      <formula>IF($B10="Quoting",TRUE,FALSE)</formula>
    </cfRule>
    <cfRule type="expression" dxfId="13652" priority="50728">
      <formula>IF($B10="Quoting",TRUE,FALSE)</formula>
    </cfRule>
    <cfRule type="expression" dxfId="13651" priority="50729">
      <formula>IF($B10="Quoting",TRUE,FALSE)</formula>
    </cfRule>
    <cfRule type="expression" dxfId="13650" priority="50730">
      <formula>IF($B10="Quoting",TRUE,FALSE)</formula>
    </cfRule>
    <cfRule type="expression" dxfId="13649" priority="50731">
      <formula>IF($B10="Quoting",TRUE,FALSE)</formula>
    </cfRule>
    <cfRule type="expression" dxfId="13648" priority="50732">
      <formula>IF($B10="Quoting",TRUE,FALSE)</formula>
    </cfRule>
    <cfRule type="expression" dxfId="13647" priority="50733">
      <formula>IF($B10="Quoting",TRUE,FALSE)</formula>
    </cfRule>
    <cfRule type="expression" dxfId="13646" priority="50734">
      <formula>IF($B10="Quoting",TRUE,FALSE)</formula>
    </cfRule>
    <cfRule type="expression" dxfId="13645" priority="50735">
      <formula>IF($B10="Quoting",TRUE,FALSE)</formula>
    </cfRule>
    <cfRule type="expression" dxfId="13644" priority="50736">
      <formula>IF($B10="Quoting",TRUE,FALSE)</formula>
    </cfRule>
    <cfRule type="expression" dxfId="13643" priority="50737">
      <formula>IF($B10="Quoting",TRUE,FALSE)</formula>
    </cfRule>
    <cfRule type="expression" dxfId="13642" priority="50738">
      <formula>IF($B10="Quoting",TRUE,FALSE)</formula>
    </cfRule>
    <cfRule type="expression" dxfId="13641" priority="50739">
      <formula>IF($B10="Quoting",TRUE,FALSE)</formula>
    </cfRule>
    <cfRule type="expression" dxfId="13640" priority="50740">
      <formula>IF($B10="Quoting",TRUE,FALSE)</formula>
    </cfRule>
    <cfRule type="expression" dxfId="13639" priority="50741">
      <formula>IF($B10="Quoting",TRUE,FALSE)</formula>
    </cfRule>
    <cfRule type="expression" dxfId="13638" priority="50838">
      <formula>IF($B10="Quoting",TRUE,FALSE)</formula>
    </cfRule>
  </conditionalFormatting>
  <conditionalFormatting sqref="G11">
    <cfRule type="expression" dxfId="13637" priority="50495">
      <formula>IF($B11="VOID",TRUE,FALSE)</formula>
    </cfRule>
    <cfRule type="expression" dxfId="13636" priority="50496">
      <formula>IF($B11="VOID",TRUE,FALSE)</formula>
    </cfRule>
    <cfRule type="expression" dxfId="13635" priority="50497">
      <formula>IF($B11="VOID",TRUE,FALSE)</formula>
    </cfRule>
    <cfRule type="expression" dxfId="13634" priority="50498">
      <formula>IF($B11="VOID",TRUE,FALSE)</formula>
    </cfRule>
    <cfRule type="expression" dxfId="13633" priority="50499">
      <formula>IF($B11="VOID",TRUE,FALSE)</formula>
    </cfRule>
    <cfRule type="expression" dxfId="13632" priority="50500">
      <formula>IF($B11="Quoting",TRUE,FALSE)</formula>
    </cfRule>
    <cfRule type="expression" dxfId="13631" priority="50501">
      <formula>IF($B11="VOID",TRUE,FALSE)</formula>
    </cfRule>
    <cfRule type="expression" dxfId="13630" priority="50502">
      <formula>IF($B11="Quoting",TRUE,FALSE)</formula>
    </cfRule>
    <cfRule type="expression" dxfId="13629" priority="50503">
      <formula>IF($B11="VOID",TRUE,FALSE)</formula>
    </cfRule>
    <cfRule type="expression" dxfId="13628" priority="50504">
      <formula>IF($B11="Quoting",TRUE,FALSE)</formula>
    </cfRule>
    <cfRule type="expression" dxfId="13627" priority="50505">
      <formula>IF($B11="Quoting",TRUE,FALSE)</formula>
    </cfRule>
    <cfRule type="expression" dxfId="13626" priority="50506">
      <formula>IF($B11="VOID",TRUE,FALSE)</formula>
    </cfRule>
    <cfRule type="expression" dxfId="13625" priority="50507">
      <formula>IF($B11="VOID",TRUE,FALSE)</formula>
    </cfRule>
    <cfRule type="expression" dxfId="13624" priority="50508">
      <formula>IF($B11="LOST",TRUE,FALSE)</formula>
    </cfRule>
    <cfRule type="expression" dxfId="13623" priority="50509">
      <formula>IF($B11="Larry",TRUE,FALSE)</formula>
    </cfRule>
    <cfRule type="expression" dxfId="13622" priority="50510">
      <formula>IF($B11="Cathy",TRUE,FALSE)</formula>
    </cfRule>
    <cfRule type="expression" dxfId="13621" priority="50511">
      <formula>IF($B11="ISSUE",TRUE,FALSE)</formula>
    </cfRule>
    <cfRule type="expression" dxfId="13620" priority="50512">
      <formula>IF($B11="Purchased",TRUE,FALSE)</formula>
    </cfRule>
    <cfRule type="expression" dxfId="13619" priority="50513">
      <formula>IF($B11="Requoted",TRUE,FALSE)</formula>
    </cfRule>
    <cfRule type="expression" dxfId="13618" priority="50514">
      <formula>IF($B11="Quote Sent",TRUE,FALSE)</formula>
    </cfRule>
    <cfRule type="expression" dxfId="13617" priority="50515">
      <formula>IF($B11="Max",TRUE,FALSE)</formula>
    </cfRule>
    <cfRule type="expression" dxfId="13616" priority="50516">
      <formula>IF($B11="Quoting",TRUE,FALSE)</formula>
    </cfRule>
  </conditionalFormatting>
  <conditionalFormatting sqref="G12:G15">
    <cfRule type="expression" dxfId="13615" priority="50370">
      <formula>IF($B12="Quoting",TRUE,FALSE)</formula>
    </cfRule>
  </conditionalFormatting>
  <conditionalFormatting sqref="G13">
    <cfRule type="expression" dxfId="13614" priority="50345">
      <formula>IF($B13="VOID",TRUE,FALSE)</formula>
    </cfRule>
  </conditionalFormatting>
  <conditionalFormatting sqref="G13:G15">
    <cfRule type="expression" dxfId="13613" priority="50346">
      <formula>IF($B13="VOID",TRUE,FALSE)</formula>
    </cfRule>
  </conditionalFormatting>
  <conditionalFormatting sqref="G14">
    <cfRule type="expression" dxfId="13612" priority="49914">
      <formula>IF($B14="Quoting",TRUE,FALSE)</formula>
    </cfRule>
    <cfRule type="expression" dxfId="13611" priority="49915">
      <formula>IF($B14="Quoting",TRUE,FALSE)</formula>
    </cfRule>
    <cfRule type="expression" dxfId="13610" priority="49916">
      <formula>IF($B14="Quoting",TRUE,FALSE)</formula>
    </cfRule>
    <cfRule type="expression" dxfId="13609" priority="49917">
      <formula>IF($B14="Quoting",TRUE,FALSE)</formula>
    </cfRule>
    <cfRule type="expression" dxfId="13608" priority="49918">
      <formula>IF($B14="Quoting",TRUE,FALSE)</formula>
    </cfRule>
    <cfRule type="expression" dxfId="13607" priority="49919">
      <formula>IF($B14="Quoting",TRUE,FALSE)</formula>
    </cfRule>
    <cfRule type="expression" dxfId="13606" priority="49920">
      <formula>IF($B14="Quoting",TRUE,FALSE)</formula>
    </cfRule>
    <cfRule type="expression" dxfId="13605" priority="49921">
      <formula>IF($B14="Quoting",TRUE,FALSE)</formula>
    </cfRule>
    <cfRule type="expression" dxfId="13604" priority="49922">
      <formula>IF($B14="Quoting",TRUE,FALSE)</formula>
    </cfRule>
    <cfRule type="expression" dxfId="13603" priority="49923">
      <formula>IF($B14="Quoting",TRUE,FALSE)</formula>
    </cfRule>
    <cfRule type="expression" dxfId="13602" priority="49924">
      <formula>IF($B14="Quoting",TRUE,FALSE)</formula>
    </cfRule>
    <cfRule type="expression" dxfId="13601" priority="49925">
      <formula>IF($B14="Quoting",TRUE,FALSE)</formula>
    </cfRule>
    <cfRule type="expression" dxfId="13600" priority="49926">
      <formula>IF($B14="Quoting",TRUE,FALSE)</formula>
    </cfRule>
    <cfRule type="expression" dxfId="13599" priority="49927">
      <formula>IF($B14="Quoting",TRUE,FALSE)</formula>
    </cfRule>
    <cfRule type="expression" dxfId="13598" priority="49928">
      <formula>IF($B14="Quoting",TRUE,FALSE)</formula>
    </cfRule>
    <cfRule type="expression" dxfId="13597" priority="49929">
      <formula>IF($B14="Quoting",TRUE,FALSE)</formula>
    </cfRule>
    <cfRule type="expression" dxfId="13596" priority="49930">
      <formula>IF($B14="Quoting",TRUE,FALSE)</formula>
    </cfRule>
    <cfRule type="expression" dxfId="13595" priority="49931">
      <formula>IF($B14="Quoting",TRUE,FALSE)</formula>
    </cfRule>
    <cfRule type="expression" dxfId="13594" priority="49932">
      <formula>IF($B14="Quoting",TRUE,FALSE)</formula>
    </cfRule>
    <cfRule type="expression" dxfId="13593" priority="49933">
      <formula>IF($B14="Quoting",TRUE,FALSE)</formula>
    </cfRule>
    <cfRule type="expression" dxfId="13592" priority="49934">
      <formula>IF($B14="Quoting",TRUE,FALSE)</formula>
    </cfRule>
    <cfRule type="expression" dxfId="13591" priority="49935">
      <formula>IF($B14="Quoting",TRUE,FALSE)</formula>
    </cfRule>
    <cfRule type="expression" dxfId="13590" priority="49936">
      <formula>IF($B14="Quoting",TRUE,FALSE)</formula>
    </cfRule>
    <cfRule type="expression" dxfId="13589" priority="49937">
      <formula>IF($B14="Quoting",TRUE,FALSE)</formula>
    </cfRule>
    <cfRule type="expression" dxfId="13588" priority="49938">
      <formula>IF($B14="Quoting",TRUE,FALSE)</formula>
    </cfRule>
    <cfRule type="expression" dxfId="13587" priority="49939">
      <formula>IF($B14="Quoting",TRUE,FALSE)</formula>
    </cfRule>
    <cfRule type="expression" dxfId="13586" priority="49940">
      <formula>IF($B14="Quoting",TRUE,FALSE)</formula>
    </cfRule>
    <cfRule type="expression" dxfId="13585" priority="49941">
      <formula>IF($B14="Quoting",TRUE,FALSE)</formula>
    </cfRule>
    <cfRule type="expression" dxfId="13584" priority="49942">
      <formula>IF($B14="Quoting",TRUE,FALSE)</formula>
    </cfRule>
    <cfRule type="expression" dxfId="13583" priority="49943">
      <formula>IF($B14="Quoting",TRUE,FALSE)</formula>
    </cfRule>
    <cfRule type="expression" dxfId="13582" priority="49944">
      <formula>IF($B14="Quoting",TRUE,FALSE)</formula>
    </cfRule>
    <cfRule type="expression" dxfId="13581" priority="49945">
      <formula>IF($B14="Quoting",TRUE,FALSE)</formula>
    </cfRule>
    <cfRule type="expression" dxfId="13580" priority="49946">
      <formula>IF($B14="Quoting",TRUE,FALSE)</formula>
    </cfRule>
    <cfRule type="expression" dxfId="13579" priority="49947">
      <formula>IF($B14="Quoting",TRUE,FALSE)</formula>
    </cfRule>
    <cfRule type="expression" dxfId="13578" priority="49948">
      <formula>IF($B14="Quoting",TRUE,FALSE)</formula>
    </cfRule>
    <cfRule type="expression" dxfId="13577" priority="49949">
      <formula>IF($B14="Quoting",TRUE,FALSE)</formula>
    </cfRule>
    <cfRule type="expression" dxfId="13576" priority="49950">
      <formula>IF($B14="Quoting",TRUE,FALSE)</formula>
    </cfRule>
    <cfRule type="expression" dxfId="13575" priority="49951">
      <formula>IF($B14="Quoting",TRUE,FALSE)</formula>
    </cfRule>
    <cfRule type="expression" dxfId="13574" priority="49952">
      <formula>IF($B14="Quoting",TRUE,FALSE)</formula>
    </cfRule>
    <cfRule type="expression" dxfId="13573" priority="49953">
      <formula>IF($B14="Quoting",TRUE,FALSE)</formula>
    </cfRule>
    <cfRule type="expression" dxfId="13572" priority="49954">
      <formula>IF($B14="Quoting",TRUE,FALSE)</formula>
    </cfRule>
    <cfRule type="expression" dxfId="13571" priority="49955">
      <formula>IF($B14="Quoting",TRUE,FALSE)</formula>
    </cfRule>
    <cfRule type="expression" dxfId="13570" priority="49956">
      <formula>IF($B14="Quoting",TRUE,FALSE)</formula>
    </cfRule>
    <cfRule type="expression" dxfId="13569" priority="49957">
      <formula>IF($B14="Quoting",TRUE,FALSE)</formula>
    </cfRule>
    <cfRule type="expression" dxfId="13568" priority="49958">
      <formula>IF($B14="Quoting",TRUE,FALSE)</formula>
    </cfRule>
    <cfRule type="expression" dxfId="13567" priority="49959">
      <formula>IF($B14="Quoting",TRUE,FALSE)</formula>
    </cfRule>
    <cfRule type="expression" dxfId="13566" priority="49960">
      <formula>IF($B14="Quoting",TRUE,FALSE)</formula>
    </cfRule>
    <cfRule type="expression" dxfId="13565" priority="49961">
      <formula>IF($B14="Quoting",TRUE,FALSE)</formula>
    </cfRule>
    <cfRule type="expression" dxfId="13564" priority="49962">
      <formula>IF($B14="Quoting",TRUE,FALSE)</formula>
    </cfRule>
    <cfRule type="expression" dxfId="13563" priority="49963">
      <formula>IF($B14="Quoting",TRUE,FALSE)</formula>
    </cfRule>
    <cfRule type="expression" dxfId="13562" priority="49964">
      <formula>IF($B14="Quoting",TRUE,FALSE)</formula>
    </cfRule>
    <cfRule type="expression" dxfId="13561" priority="49965">
      <formula>IF($B14="Quoting",TRUE,FALSE)</formula>
    </cfRule>
    <cfRule type="expression" dxfId="13560" priority="49966">
      <formula>IF($B14="Quoting",TRUE,FALSE)</formula>
    </cfRule>
    <cfRule type="expression" dxfId="13559" priority="49967">
      <formula>IF($B14="Quoting",TRUE,FALSE)</formula>
    </cfRule>
    <cfRule type="expression" dxfId="13558" priority="49968">
      <formula>IF($B14="Quoting",TRUE,FALSE)</formula>
    </cfRule>
    <cfRule type="expression" dxfId="13557" priority="49969">
      <formula>IF($B14="Quoting",TRUE,FALSE)</formula>
    </cfRule>
    <cfRule type="expression" dxfId="13556" priority="49970">
      <formula>IF($B14="Quoting",TRUE,FALSE)</formula>
    </cfRule>
    <cfRule type="expression" dxfId="13555" priority="49971">
      <formula>IF($B14="Quoting",TRUE,FALSE)</formula>
    </cfRule>
  </conditionalFormatting>
  <conditionalFormatting sqref="G15">
    <cfRule type="expression" dxfId="13554" priority="49700">
      <formula>IF($B15="Quoting",TRUE,FALSE)</formula>
    </cfRule>
  </conditionalFormatting>
  <conditionalFormatting sqref="G23">
    <cfRule type="expression" dxfId="13553" priority="49303">
      <formula>IF($B23="Quoting",TRUE,FALSE)</formula>
    </cfRule>
  </conditionalFormatting>
  <conditionalFormatting sqref="G24">
    <cfRule type="expression" dxfId="13552" priority="49057">
      <formula>IF($B24="Quoting",TRUE,FALSE)</formula>
    </cfRule>
    <cfRule type="expression" dxfId="13551" priority="49058">
      <formula>IF($B24="Quoting",TRUE,FALSE)</formula>
    </cfRule>
    <cfRule type="expression" dxfId="13550" priority="49059">
      <formula>IF($B24="Quoting",TRUE,FALSE)</formula>
    </cfRule>
    <cfRule type="expression" dxfId="13549" priority="49060">
      <formula>IF($B24="Quoting",TRUE,FALSE)</formula>
    </cfRule>
    <cfRule type="expression" dxfId="13548" priority="49061">
      <formula>IF($B24="Quoting",TRUE,FALSE)</formula>
    </cfRule>
    <cfRule type="expression" dxfId="13547" priority="49062">
      <formula>IF($B24="Quoting",TRUE,FALSE)</formula>
    </cfRule>
    <cfRule type="expression" dxfId="13546" priority="49063">
      <formula>IF($B24="Quoting",TRUE,FALSE)</formula>
    </cfRule>
    <cfRule type="expression" dxfId="13545" priority="49064">
      <formula>IF($B24="Quoting",TRUE,FALSE)</formula>
    </cfRule>
    <cfRule type="expression" dxfId="13544" priority="49065">
      <formula>IF($B24="Quoting",TRUE,FALSE)</formula>
    </cfRule>
    <cfRule type="expression" dxfId="13543" priority="49066">
      <formula>IF($B24="Quoting",TRUE,FALSE)</formula>
    </cfRule>
    <cfRule type="expression" dxfId="13542" priority="49067">
      <formula>IF($B24="Quoting",TRUE,FALSE)</formula>
    </cfRule>
    <cfRule type="expression" dxfId="13541" priority="49068">
      <formula>IF($B24="Quoting",TRUE,FALSE)</formula>
    </cfRule>
    <cfRule type="expression" dxfId="13540" priority="49069">
      <formula>IF($B24="Quoting",TRUE,FALSE)</formula>
    </cfRule>
    <cfRule type="expression" dxfId="13539" priority="49070">
      <formula>IF($B24="Quoting",TRUE,FALSE)</formula>
    </cfRule>
    <cfRule type="expression" dxfId="13538" priority="49071">
      <formula>IF($B24="Quoting",TRUE,FALSE)</formula>
    </cfRule>
    <cfRule type="expression" dxfId="13537" priority="49072">
      <formula>IF($B24="Quoting",TRUE,FALSE)</formula>
    </cfRule>
    <cfRule type="expression" dxfId="13536" priority="49073">
      <formula>IF($B24="Quoting",TRUE,FALSE)</formula>
    </cfRule>
    <cfRule type="expression" dxfId="13535" priority="49074">
      <formula>IF($B24="Quoting",TRUE,FALSE)</formula>
    </cfRule>
    <cfRule type="expression" dxfId="13534" priority="49075">
      <formula>IF($B24="Quoting",TRUE,FALSE)</formula>
    </cfRule>
    <cfRule type="expression" dxfId="13533" priority="49076">
      <formula>IF($B24="Quoting",TRUE,FALSE)</formula>
    </cfRule>
    <cfRule type="expression" dxfId="13532" priority="49077">
      <formula>IF($B24="Quoting",TRUE,FALSE)</formula>
    </cfRule>
    <cfRule type="expression" dxfId="13531" priority="49078">
      <formula>IF($B24="Quoting",TRUE,FALSE)</formula>
    </cfRule>
    <cfRule type="expression" dxfId="13530" priority="49079">
      <formula>IF($B24="Quoting",TRUE,FALSE)</formula>
    </cfRule>
    <cfRule type="expression" dxfId="13529" priority="49080">
      <formula>IF($B24="Quoting",TRUE,FALSE)</formula>
    </cfRule>
    <cfRule type="expression" dxfId="13528" priority="49081">
      <formula>IF($B24="Quoting",TRUE,FALSE)</formula>
    </cfRule>
    <cfRule type="expression" dxfId="13527" priority="49082">
      <formula>IF($B24="Quoting",TRUE,FALSE)</formula>
    </cfRule>
    <cfRule type="expression" dxfId="13526" priority="49083">
      <formula>IF($B24="Quoting",TRUE,FALSE)</formula>
    </cfRule>
    <cfRule type="expression" dxfId="13525" priority="49084">
      <formula>IF($B24="Quoting",TRUE,FALSE)</formula>
    </cfRule>
    <cfRule type="expression" dxfId="13524" priority="49085">
      <formula>IF($B24="Quoting",TRUE,FALSE)</formula>
    </cfRule>
    <cfRule type="expression" dxfId="13523" priority="49086">
      <formula>IF($B24="Quoting",TRUE,FALSE)</formula>
    </cfRule>
    <cfRule type="expression" dxfId="13522" priority="49087">
      <formula>IF($B24="Quoting",TRUE,FALSE)</formula>
    </cfRule>
    <cfRule type="expression" dxfId="13521" priority="49088">
      <formula>IF($B24="Quoting",TRUE,FALSE)</formula>
    </cfRule>
    <cfRule type="expression" dxfId="13520" priority="49089">
      <formula>IF($B24="Quoting",TRUE,FALSE)</formula>
    </cfRule>
    <cfRule type="expression" dxfId="13519" priority="49090">
      <formula>IF($B24="Quoting",TRUE,FALSE)</formula>
    </cfRule>
    <cfRule type="expression" dxfId="13518" priority="49091">
      <formula>IF($B24="Quoting",TRUE,FALSE)</formula>
    </cfRule>
    <cfRule type="expression" dxfId="13517" priority="49092">
      <formula>IF($B24="Quoting",TRUE,FALSE)</formula>
    </cfRule>
    <cfRule type="expression" dxfId="13516" priority="49093">
      <formula>IF($B24="Quoting",TRUE,FALSE)</formula>
    </cfRule>
    <cfRule type="expression" dxfId="13515" priority="49094">
      <formula>IF($B24="Quoting",TRUE,FALSE)</formula>
    </cfRule>
    <cfRule type="expression" dxfId="13514" priority="49095">
      <formula>IF($B24="Quoting",TRUE,FALSE)</formula>
    </cfRule>
    <cfRule type="expression" dxfId="13513" priority="49096">
      <formula>IF($B24="Quoting",TRUE,FALSE)</formula>
    </cfRule>
    <cfRule type="expression" dxfId="13512" priority="49097">
      <formula>IF($B24="Quoting",TRUE,FALSE)</formula>
    </cfRule>
    <cfRule type="expression" dxfId="13511" priority="49098">
      <formula>IF($B24="Quoting",TRUE,FALSE)</formula>
    </cfRule>
    <cfRule type="expression" dxfId="13510" priority="49099">
      <formula>IF($B24="Quoting",TRUE,FALSE)</formula>
    </cfRule>
    <cfRule type="expression" dxfId="13509" priority="49100">
      <formula>IF($B24="Quoting",TRUE,FALSE)</formula>
    </cfRule>
    <cfRule type="expression" dxfId="13508" priority="49101">
      <formula>IF($B24="Quoting",TRUE,FALSE)</formula>
    </cfRule>
    <cfRule type="expression" dxfId="13507" priority="49102">
      <formula>IF($B24="Quoting",TRUE,FALSE)</formula>
    </cfRule>
    <cfRule type="expression" dxfId="13506" priority="49103">
      <formula>IF($B24="Quoting",TRUE,FALSE)</formula>
    </cfRule>
    <cfRule type="expression" dxfId="13505" priority="49104">
      <formula>IF($B24="Quoting",TRUE,FALSE)</formula>
    </cfRule>
    <cfRule type="expression" dxfId="13504" priority="49105">
      <formula>IF($B24="Quoting",TRUE,FALSE)</formula>
    </cfRule>
    <cfRule type="expression" dxfId="13503" priority="49106">
      <formula>IF($B24="Quoting",TRUE,FALSE)</formula>
    </cfRule>
    <cfRule type="expression" dxfId="13502" priority="49107">
      <formula>IF($B24="Quoting",TRUE,FALSE)</formula>
    </cfRule>
    <cfRule type="expression" dxfId="13501" priority="49108">
      <formula>IF($B24="Quoting",TRUE,FALSE)</formula>
    </cfRule>
    <cfRule type="expression" dxfId="13500" priority="49109">
      <formula>IF($B24="Quoting",TRUE,FALSE)</formula>
    </cfRule>
    <cfRule type="expression" dxfId="13499" priority="49110">
      <formula>IF($B24="Quoting",TRUE,FALSE)</formula>
    </cfRule>
    <cfRule type="expression" dxfId="13498" priority="49111">
      <formula>IF($B24="Quoting",TRUE,FALSE)</formula>
    </cfRule>
    <cfRule type="expression" dxfId="13497" priority="49112">
      <formula>IF($B24="Quoting",TRUE,FALSE)</formula>
    </cfRule>
    <cfRule type="expression" dxfId="13496" priority="49113">
      <formula>IF($B24="Quoting",TRUE,FALSE)</formula>
    </cfRule>
    <cfRule type="expression" dxfId="13495" priority="49114">
      <formula>IF($B24="Quoting",TRUE,FALSE)</formula>
    </cfRule>
    <cfRule type="expression" dxfId="13494" priority="49115">
      <formula>IF($B24="Quoting",TRUE,FALSE)</formula>
    </cfRule>
    <cfRule type="expression" dxfId="13493" priority="49116">
      <formula>IF($B24="Quoting",TRUE,FALSE)</formula>
    </cfRule>
  </conditionalFormatting>
  <conditionalFormatting sqref="G25:G26">
    <cfRule type="expression" dxfId="13492" priority="49051">
      <formula>IF($B25="Quoting",TRUE,FALSE)</formula>
    </cfRule>
  </conditionalFormatting>
  <conditionalFormatting sqref="G26">
    <cfRule type="expression" dxfId="13491" priority="23653">
      <formula>IF($B26="Larry",TRUE,FALSE)</formula>
    </cfRule>
    <cfRule type="expression" dxfId="13490" priority="23654">
      <formula>IF($B26="VOID",TRUE,FALSE)</formula>
    </cfRule>
    <cfRule type="expression" dxfId="13489" priority="23655">
      <formula>IF($B26="Quoting",TRUE,FALSE)</formula>
    </cfRule>
  </conditionalFormatting>
  <conditionalFormatting sqref="G27">
    <cfRule type="expression" dxfId="13488" priority="44681">
      <formula>IF($B27="Quoting",TRUE,FALSE)</formula>
    </cfRule>
    <cfRule type="expression" dxfId="13487" priority="44682">
      <formula>IF($B27="VOID",TRUE,FALSE)</formula>
    </cfRule>
    <cfRule type="expression" dxfId="13486" priority="44683">
      <formula>IF($B27="Quoting",TRUE,FALSE)</formula>
    </cfRule>
  </conditionalFormatting>
  <conditionalFormatting sqref="G30">
    <cfRule type="expression" dxfId="13485" priority="25096">
      <formula>IF($B30="Quoting",TRUE,FALSE)</formula>
    </cfRule>
    <cfRule type="expression" dxfId="13484" priority="25097">
      <formula>IF($B30="Quoting",TRUE,FALSE)</formula>
    </cfRule>
    <cfRule type="expression" dxfId="13483" priority="25098">
      <formula>IF($B30="Quoting",TRUE,FALSE)</formula>
    </cfRule>
    <cfRule type="expression" dxfId="13482" priority="25099">
      <formula>IF($B30="Quoting",TRUE,FALSE)</formula>
    </cfRule>
    <cfRule type="expression" dxfId="13481" priority="25100">
      <formula>IF($B30="Quoting",TRUE,FALSE)</formula>
    </cfRule>
    <cfRule type="expression" dxfId="13480" priority="25101">
      <formula>IF($B30="Quoting",TRUE,FALSE)</formula>
    </cfRule>
    <cfRule type="expression" dxfId="13479" priority="25102">
      <formula>IF($B30="Quoting",TRUE,FALSE)</formula>
    </cfRule>
    <cfRule type="expression" dxfId="13478" priority="25103">
      <formula>IF($B30="Quoting",TRUE,FALSE)</formula>
    </cfRule>
    <cfRule type="expression" dxfId="13477" priority="25104">
      <formula>IF($B30="Quoting",TRUE,FALSE)</formula>
    </cfRule>
    <cfRule type="expression" dxfId="13476" priority="25105">
      <formula>IF($B30="Quoting",TRUE,FALSE)</formula>
    </cfRule>
    <cfRule type="expression" dxfId="13475" priority="25106">
      <formula>IF($B30="Quoting",TRUE,FALSE)</formula>
    </cfRule>
    <cfRule type="expression" dxfId="13474" priority="25107">
      <formula>IF($B30="Quoting",TRUE,FALSE)</formula>
    </cfRule>
    <cfRule type="expression" dxfId="13473" priority="25108">
      <formula>IF($B30="Quoting",TRUE,FALSE)</formula>
    </cfRule>
    <cfRule type="expression" dxfId="13472" priority="25109">
      <formula>IF($B30="Quoting",TRUE,FALSE)</formula>
    </cfRule>
    <cfRule type="expression" dxfId="13471" priority="25110">
      <formula>IF($B30="Quoting",TRUE,FALSE)</formula>
    </cfRule>
    <cfRule type="expression" dxfId="13470" priority="25111">
      <formula>IF($B30="Quoting",TRUE,FALSE)</formula>
    </cfRule>
    <cfRule type="expression" dxfId="13469" priority="25112">
      <formula>IF($B30="Quoting",TRUE,FALSE)</formula>
    </cfRule>
    <cfRule type="expression" dxfId="13468" priority="25113">
      <formula>IF($B30="Quoting",TRUE,FALSE)</formula>
    </cfRule>
    <cfRule type="expression" dxfId="13467" priority="25114">
      <formula>IF($B30="Quoting",TRUE,FALSE)</formula>
    </cfRule>
    <cfRule type="expression" dxfId="13466" priority="25115">
      <formula>IF($B30="VOID",TRUE,FALSE)</formula>
    </cfRule>
    <cfRule type="expression" dxfId="13465" priority="25116">
      <formula>IF($B30="Quoting",TRUE,FALSE)</formula>
    </cfRule>
    <cfRule type="expression" dxfId="13464" priority="25117">
      <formula>IF($B30="Quoting",TRUE,FALSE)</formula>
    </cfRule>
    <cfRule type="expression" dxfId="13463" priority="25118">
      <formula>IF($B30="Quoting",TRUE,FALSE)</formula>
    </cfRule>
    <cfRule type="expression" dxfId="13462" priority="25119">
      <formula>IF($B30="Quoting",TRUE,FALSE)</formula>
    </cfRule>
    <cfRule type="expression" dxfId="13461" priority="25120">
      <formula>IF($B30="Quoting",TRUE,FALSE)</formula>
    </cfRule>
    <cfRule type="expression" dxfId="13460" priority="25121">
      <formula>IF($B30="Quoting",TRUE,FALSE)</formula>
    </cfRule>
    <cfRule type="expression" dxfId="13459" priority="25122">
      <formula>IF($B30="Quoting",TRUE,FALSE)</formula>
    </cfRule>
    <cfRule type="expression" dxfId="13458" priority="25123">
      <formula>IF($B30="Quoting",TRUE,FALSE)</formula>
    </cfRule>
    <cfRule type="expression" dxfId="13457" priority="25124">
      <formula>IF($B30="Quoting",TRUE,FALSE)</formula>
    </cfRule>
    <cfRule type="expression" dxfId="13456" priority="25125">
      <formula>IF($B30="Quoting",TRUE,FALSE)</formula>
    </cfRule>
    <cfRule type="expression" dxfId="13455" priority="25126">
      <formula>IF($B30="Quoting",TRUE,FALSE)</formula>
    </cfRule>
    <cfRule type="expression" dxfId="13454" priority="25127">
      <formula>IF($B30="Quoting",TRUE,FALSE)</formula>
    </cfRule>
    <cfRule type="expression" dxfId="13453" priority="25128">
      <formula>IF($B30="Quoting",TRUE,FALSE)</formula>
    </cfRule>
    <cfRule type="expression" dxfId="13452" priority="25129">
      <formula>IF($B30="Quoting",TRUE,FALSE)</formula>
    </cfRule>
    <cfRule type="expression" dxfId="13451" priority="25130">
      <formula>IF($B30="Quoting",TRUE,FALSE)</formula>
    </cfRule>
    <cfRule type="expression" dxfId="13450" priority="25131">
      <formula>IF($B30="Quoting",TRUE,FALSE)</formula>
    </cfRule>
    <cfRule type="expression" dxfId="13449" priority="25132">
      <formula>IF($B30="Quoting",TRUE,FALSE)</formula>
    </cfRule>
    <cfRule type="expression" dxfId="13448" priority="25133">
      <formula>IF($B30="Quoting",TRUE,FALSE)</formula>
    </cfRule>
    <cfRule type="expression" dxfId="13447" priority="25134">
      <formula>IF($B30="Quoting",TRUE,FALSE)</formula>
    </cfRule>
    <cfRule type="expression" dxfId="13446" priority="25135">
      <formula>IF($B30="Quoting",TRUE,FALSE)</formula>
    </cfRule>
    <cfRule type="expression" dxfId="13445" priority="25136">
      <formula>IF($B30="Quoting",TRUE,FALSE)</formula>
    </cfRule>
    <cfRule type="expression" dxfId="13444" priority="25137">
      <formula>IF($B30="Quoting",TRUE,FALSE)</formula>
    </cfRule>
    <cfRule type="expression" dxfId="13443" priority="25138">
      <formula>IF($B30="Quoting",TRUE,FALSE)</formula>
    </cfRule>
    <cfRule type="expression" dxfId="13442" priority="25139">
      <formula>IF($B30="Quoting",TRUE,FALSE)</formula>
    </cfRule>
    <cfRule type="expression" dxfId="13441" priority="25140">
      <formula>IF($B30="Quoting",TRUE,FALSE)</formula>
    </cfRule>
    <cfRule type="expression" dxfId="13440" priority="25141">
      <formula>IF($B30="Quoting",TRUE,FALSE)</formula>
    </cfRule>
    <cfRule type="expression" dxfId="13439" priority="25142">
      <formula>IF($B30="Quoting",TRUE,FALSE)</formula>
    </cfRule>
    <cfRule type="expression" dxfId="13438" priority="25143">
      <formula>IF($B30="Quoting",TRUE,FALSE)</formula>
    </cfRule>
    <cfRule type="expression" dxfId="13437" priority="25144">
      <formula>IF($B30="Quoting",TRUE,FALSE)</formula>
    </cfRule>
    <cfRule type="expression" dxfId="13436" priority="25145">
      <formula>IF($B30="Quoting",TRUE,FALSE)</formula>
    </cfRule>
    <cfRule type="expression" dxfId="13435" priority="25146">
      <formula>IF($B30="Quoting",TRUE,FALSE)</formula>
    </cfRule>
    <cfRule type="expression" dxfId="13434" priority="25147">
      <formula>IF($B30="Quoting",TRUE,FALSE)</formula>
    </cfRule>
    <cfRule type="expression" dxfId="13433" priority="25148">
      <formula>IF($B30="Quoting",TRUE,FALSE)</formula>
    </cfRule>
    <cfRule type="expression" dxfId="13432" priority="25149">
      <formula>IF($B30="Quoting",TRUE,FALSE)</formula>
    </cfRule>
    <cfRule type="expression" dxfId="13431" priority="25150">
      <formula>IF($B30="Quoting",TRUE,FALSE)</formula>
    </cfRule>
    <cfRule type="expression" dxfId="13430" priority="25151">
      <formula>IF($B30="Quoting",TRUE,FALSE)</formula>
    </cfRule>
    <cfRule type="expression" dxfId="13429" priority="25152">
      <formula>IF($B30="Quoting",TRUE,FALSE)</formula>
    </cfRule>
    <cfRule type="expression" dxfId="13428" priority="25153">
      <formula>IF($B30="Quoting",TRUE,FALSE)</formula>
    </cfRule>
    <cfRule type="expression" dxfId="13427" priority="25154">
      <formula>IF($B30="Quoting",TRUE,FALSE)</formula>
    </cfRule>
    <cfRule type="expression" dxfId="13426" priority="25155">
      <formula>IF($B30="Quoting",TRUE,FALSE)</formula>
    </cfRule>
    <cfRule type="expression" dxfId="13425" priority="25156">
      <formula>IF($B30="Quoting",TRUE,FALSE)</formula>
    </cfRule>
    <cfRule type="expression" dxfId="13424" priority="25157">
      <formula>IF($B30="Quoting",TRUE,FALSE)</formula>
    </cfRule>
    <cfRule type="expression" dxfId="13423" priority="25158">
      <formula>IF($B30="Quoting",TRUE,FALSE)</formula>
    </cfRule>
    <cfRule type="expression" dxfId="13422" priority="25159">
      <formula>IF($B30="Quoting",TRUE,FALSE)</formula>
    </cfRule>
    <cfRule type="expression" dxfId="13421" priority="25160">
      <formula>IF($B30="Quoting",TRUE,FALSE)</formula>
    </cfRule>
    <cfRule type="expression" dxfId="13420" priority="25161">
      <formula>IF($B30="Quoting",TRUE,FALSE)</formula>
    </cfRule>
    <cfRule type="expression" dxfId="13419" priority="25162">
      <formula>IF($B30="Quoting",TRUE,FALSE)</formula>
    </cfRule>
    <cfRule type="expression" dxfId="13418" priority="25163">
      <formula>IF($B30="Quoting",TRUE,FALSE)</formula>
    </cfRule>
    <cfRule type="expression" dxfId="13417" priority="25164">
      <formula>IF($B30="Quoting",TRUE,FALSE)</formula>
    </cfRule>
    <cfRule type="expression" dxfId="13416" priority="25165">
      <formula>IF($B30="Quoting",TRUE,FALSE)</formula>
    </cfRule>
    <cfRule type="expression" dxfId="13415" priority="25166">
      <formula>IF($B30="Quoting",TRUE,FALSE)</formula>
    </cfRule>
    <cfRule type="expression" dxfId="13414" priority="25167">
      <formula>IF($B30="Quoting",TRUE,FALSE)</formula>
    </cfRule>
    <cfRule type="expression" dxfId="13413" priority="25168">
      <formula>IF($B30="Quoting",TRUE,FALSE)</formula>
    </cfRule>
    <cfRule type="expression" dxfId="13412" priority="25169">
      <formula>IF($B30="Quoting",TRUE,FALSE)</formula>
    </cfRule>
    <cfRule type="expression" dxfId="13411" priority="25170">
      <formula>IF($B30="Quoting",TRUE,FALSE)</formula>
    </cfRule>
    <cfRule type="expression" dxfId="13410" priority="25171">
      <formula>IF($B30="Quoting",TRUE,FALSE)</formula>
    </cfRule>
    <cfRule type="expression" dxfId="13409" priority="25172">
      <formula>IF($B30="Quoting",TRUE,FALSE)</formula>
    </cfRule>
    <cfRule type="expression" dxfId="13408" priority="25173">
      <formula>IF($B30="Quoting",TRUE,FALSE)</formula>
    </cfRule>
    <cfRule type="expression" dxfId="13407" priority="25174">
      <formula>IF($B30="Quoting",TRUE,FALSE)</formula>
    </cfRule>
    <cfRule type="expression" dxfId="13406" priority="25175">
      <formula>IF($B30="Quoting",TRUE,FALSE)</formula>
    </cfRule>
    <cfRule type="expression" dxfId="13405" priority="25176">
      <formula>IF($B30="Quoting",TRUE,FALSE)</formula>
    </cfRule>
    <cfRule type="expression" dxfId="13404" priority="25177">
      <formula>IF($B30="Quoting",TRUE,FALSE)</formula>
    </cfRule>
    <cfRule type="expression" dxfId="13403" priority="25178">
      <formula>IF($B30="Quoting",TRUE,FALSE)</formula>
    </cfRule>
    <cfRule type="expression" dxfId="13402" priority="25179">
      <formula>IF($B30="Quoting",TRUE,FALSE)</formula>
    </cfRule>
    <cfRule type="expression" dxfId="13401" priority="25180">
      <formula>IF($B30="Quoting",TRUE,FALSE)</formula>
    </cfRule>
    <cfRule type="expression" dxfId="13400" priority="25181">
      <formula>IF($B30="Quoting",TRUE,FALSE)</formula>
    </cfRule>
    <cfRule type="expression" dxfId="13399" priority="25182">
      <formula>IF($B30="Quoting",TRUE,FALSE)</formula>
    </cfRule>
    <cfRule type="expression" dxfId="13398" priority="25183">
      <formula>IF($B30="Quoting",TRUE,FALSE)</formula>
    </cfRule>
    <cfRule type="expression" dxfId="13397" priority="25184">
      <formula>IF($B30="Quoting",TRUE,FALSE)</formula>
    </cfRule>
    <cfRule type="expression" dxfId="13396" priority="25185">
      <formula>IF($B30="Quoting",TRUE,FALSE)</formula>
    </cfRule>
    <cfRule type="expression" dxfId="13395" priority="25186">
      <formula>IF($B30="Quoting",TRUE,FALSE)</formula>
    </cfRule>
    <cfRule type="expression" dxfId="13394" priority="25187">
      <formula>IF($B30="Quoting",TRUE,FALSE)</formula>
    </cfRule>
    <cfRule type="expression" dxfId="13393" priority="25188">
      <formula>IF($B30="Quoting",TRUE,FALSE)</formula>
    </cfRule>
    <cfRule type="expression" dxfId="13392" priority="25189">
      <formula>IF($B30="Quoting",TRUE,FALSE)</formula>
    </cfRule>
    <cfRule type="expression" dxfId="13391" priority="25190">
      <formula>IF($B30="Quoting",TRUE,FALSE)</formula>
    </cfRule>
    <cfRule type="expression" dxfId="13390" priority="25191">
      <formula>IF($B30="Quoting",TRUE,FALSE)</formula>
    </cfRule>
    <cfRule type="expression" dxfId="13389" priority="25192">
      <formula>IF($B30="Quoting",TRUE,FALSE)</formula>
    </cfRule>
    <cfRule type="expression" dxfId="13388" priority="25193">
      <formula>IF($B30="Quoting",TRUE,FALSE)</formula>
    </cfRule>
    <cfRule type="expression" dxfId="13387" priority="25194">
      <formula>IF($B30="Quoting",TRUE,FALSE)</formula>
    </cfRule>
    <cfRule type="expression" dxfId="13386" priority="25195">
      <formula>IF($B30="Quoting",TRUE,FALSE)</formula>
    </cfRule>
    <cfRule type="expression" dxfId="13385" priority="25196">
      <formula>IF($B30="Quoting",TRUE,FALSE)</formula>
    </cfRule>
    <cfRule type="expression" dxfId="13384" priority="25197">
      <formula>IF($B30="Quoting",TRUE,FALSE)</formula>
    </cfRule>
    <cfRule type="expression" dxfId="13383" priority="25198">
      <formula>IF($B30="Quoting",TRUE,FALSE)</formula>
    </cfRule>
    <cfRule type="expression" dxfId="13382" priority="25199">
      <formula>IF($B30="Quoting",TRUE,FALSE)</formula>
    </cfRule>
    <cfRule type="expression" dxfId="13381" priority="25200">
      <formula>IF($B30="Quoting",TRUE,FALSE)</formula>
    </cfRule>
    <cfRule type="expression" dxfId="13380" priority="25201">
      <formula>IF($B30="Quoting",TRUE,FALSE)</formula>
    </cfRule>
    <cfRule type="expression" dxfId="13379" priority="25202">
      <formula>IF($B30="Quoting",TRUE,FALSE)</formula>
    </cfRule>
    <cfRule type="expression" dxfId="13378" priority="25203">
      <formula>IF($B30="Quoting",TRUE,FALSE)</formula>
    </cfRule>
    <cfRule type="expression" dxfId="13377" priority="25204">
      <formula>IF($B30="Quoting",TRUE,FALSE)</formula>
    </cfRule>
    <cfRule type="expression" dxfId="13376" priority="25205">
      <formula>IF($B30="Quoting",TRUE,FALSE)</formula>
    </cfRule>
    <cfRule type="expression" dxfId="13375" priority="25206">
      <formula>IF($B30="Quoting",TRUE,FALSE)</formula>
    </cfRule>
    <cfRule type="expression" dxfId="13374" priority="25207">
      <formula>IF($B30="Quoting",TRUE,FALSE)</formula>
    </cfRule>
    <cfRule type="expression" dxfId="13373" priority="25208">
      <formula>IF($B30="Quoting",TRUE,FALSE)</formula>
    </cfRule>
    <cfRule type="expression" dxfId="13372" priority="25209">
      <formula>IF($B30="Quoting",TRUE,FALSE)</formula>
    </cfRule>
    <cfRule type="expression" dxfId="13371" priority="25210">
      <formula>IF($B30="Quoting",TRUE,FALSE)</formula>
    </cfRule>
    <cfRule type="expression" dxfId="13370" priority="25211">
      <formula>IF($B30="Quoting",TRUE,FALSE)</formula>
    </cfRule>
    <cfRule type="expression" dxfId="13369" priority="25212">
      <formula>IF($B30="Quoting",TRUE,FALSE)</formula>
    </cfRule>
    <cfRule type="expression" dxfId="13368" priority="25213">
      <formula>IF($B30="Quoting",TRUE,FALSE)</formula>
    </cfRule>
    <cfRule type="expression" dxfId="13367" priority="25214">
      <formula>IF($B30="Quoting",TRUE,FALSE)</formula>
    </cfRule>
    <cfRule type="expression" dxfId="13366" priority="25215">
      <formula>IF($B30="Quoting",TRUE,FALSE)</formula>
    </cfRule>
    <cfRule type="expression" dxfId="13365" priority="25216">
      <formula>IF($B30="Quoting",TRUE,FALSE)</formula>
    </cfRule>
    <cfRule type="expression" dxfId="13364" priority="25217">
      <formula>IF($B30="Quoting",TRUE,FALSE)</formula>
    </cfRule>
    <cfRule type="expression" dxfId="13363" priority="25218">
      <formula>IF($B30="Quoting",TRUE,FALSE)</formula>
    </cfRule>
    <cfRule type="expression" dxfId="13362" priority="25219">
      <formula>IF($B30="Quoting",TRUE,FALSE)</formula>
    </cfRule>
    <cfRule type="expression" dxfId="13361" priority="25220">
      <formula>IF($B30="Quoting",TRUE,FALSE)</formula>
    </cfRule>
    <cfRule type="expression" dxfId="13360" priority="25221">
      <formula>IF($B30="Quoting",TRUE,FALSE)</formula>
    </cfRule>
    <cfRule type="expression" dxfId="13359" priority="25222">
      <formula>IF($B30="Quoting",TRUE,FALSE)</formula>
    </cfRule>
    <cfRule type="expression" dxfId="13358" priority="25223">
      <formula>IF($B30="Quoting",TRUE,FALSE)</formula>
    </cfRule>
    <cfRule type="expression" dxfId="13357" priority="25224">
      <formula>IF($B30="Quoting",TRUE,FALSE)</formula>
    </cfRule>
    <cfRule type="expression" dxfId="13356" priority="25225">
      <formula>IF($B30="Quoting",TRUE,FALSE)</formula>
    </cfRule>
    <cfRule type="expression" dxfId="13355" priority="25226">
      <formula>IF($B30="Quoting",TRUE,FALSE)</formula>
    </cfRule>
    <cfRule type="expression" dxfId="13354" priority="25227">
      <formula>IF($B30="Quoting",TRUE,FALSE)</formula>
    </cfRule>
    <cfRule type="expression" dxfId="13353" priority="25228">
      <formula>IF($B30="Quoting",TRUE,FALSE)</formula>
    </cfRule>
    <cfRule type="expression" dxfId="13352" priority="25229">
      <formula>IF($B30="Quoting",TRUE,FALSE)</formula>
    </cfRule>
    <cfRule type="expression" dxfId="13351" priority="25230">
      <formula>IF($B30="Quoting",TRUE,FALSE)</formula>
    </cfRule>
    <cfRule type="expression" dxfId="13350" priority="25231">
      <formula>IF($B30="Quoting",TRUE,FALSE)</formula>
    </cfRule>
    <cfRule type="expression" dxfId="13349" priority="25232">
      <formula>IF($B30="Quoting",TRUE,FALSE)</formula>
    </cfRule>
    <cfRule type="expression" dxfId="13348" priority="25233">
      <formula>IF($B30="Quoting",TRUE,FALSE)</formula>
    </cfRule>
    <cfRule type="expression" dxfId="13347" priority="25234">
      <formula>IF($B30="Quoting",TRUE,FALSE)</formula>
    </cfRule>
    <cfRule type="expression" dxfId="13346" priority="25235">
      <formula>IF($B30="Quoting",TRUE,FALSE)</formula>
    </cfRule>
    <cfRule type="expression" dxfId="13345" priority="25236">
      <formula>IF($B30="Quoting",TRUE,FALSE)</formula>
    </cfRule>
    <cfRule type="expression" dxfId="13344" priority="25237">
      <formula>IF($B30="Quoting",TRUE,FALSE)</formula>
    </cfRule>
    <cfRule type="expression" dxfId="13343" priority="25238">
      <formula>IF($B30="Quoting",TRUE,FALSE)</formula>
    </cfRule>
    <cfRule type="expression" dxfId="13342" priority="25239">
      <formula>IF($B30="Quoting",TRUE,FALSE)</formula>
    </cfRule>
    <cfRule type="expression" dxfId="13341" priority="25240">
      <formula>IF($B30="Quoting",TRUE,FALSE)</formula>
    </cfRule>
    <cfRule type="expression" dxfId="13340" priority="25241">
      <formula>IF($B30="Quoting",TRUE,FALSE)</formula>
    </cfRule>
    <cfRule type="expression" dxfId="13339" priority="25242">
      <formula>IF($B30="Quoting",TRUE,FALSE)</formula>
    </cfRule>
    <cfRule type="expression" dxfId="13338" priority="25243">
      <formula>IF($B30="Quoting",TRUE,FALSE)</formula>
    </cfRule>
    <cfRule type="expression" dxfId="13337" priority="25244">
      <formula>IF($B30="Quoting",TRUE,FALSE)</formula>
    </cfRule>
    <cfRule type="expression" dxfId="13336" priority="25245">
      <formula>IF($B30="Quoting",TRUE,FALSE)</formula>
    </cfRule>
    <cfRule type="expression" dxfId="13335" priority="25246">
      <formula>IF($B30="Quoting",TRUE,FALSE)</formula>
    </cfRule>
    <cfRule type="expression" dxfId="13334" priority="25247">
      <formula>IF($B30="Quoting",TRUE,FALSE)</formula>
    </cfRule>
    <cfRule type="expression" dxfId="13333" priority="25248">
      <formula>IF($B30="Quoting",TRUE,FALSE)</formula>
    </cfRule>
    <cfRule type="expression" dxfId="13332" priority="25249">
      <formula>IF($B30="Quoting",TRUE,FALSE)</formula>
    </cfRule>
    <cfRule type="expression" dxfId="13331" priority="25250">
      <formula>IF($B30="Quoting",TRUE,FALSE)</formula>
    </cfRule>
    <cfRule type="expression" dxfId="13330" priority="25251">
      <formula>IF($B30="Quoting",TRUE,FALSE)</formula>
    </cfRule>
    <cfRule type="expression" dxfId="13329" priority="25252">
      <formula>IF($B30="Quoting",TRUE,FALSE)</formula>
    </cfRule>
    <cfRule type="expression" dxfId="13328" priority="25253">
      <formula>IF($B30="Quoting",TRUE,FALSE)</formula>
    </cfRule>
    <cfRule type="expression" dxfId="13327" priority="25254">
      <formula>IF($B30="Quoting",TRUE,FALSE)</formula>
    </cfRule>
    <cfRule type="expression" dxfId="13326" priority="25255">
      <formula>IF($B30="Quoting",TRUE,FALSE)</formula>
    </cfRule>
    <cfRule type="expression" dxfId="13325" priority="25256">
      <formula>IF($B30="Quoting",TRUE,FALSE)</formula>
    </cfRule>
    <cfRule type="expression" dxfId="13324" priority="25257">
      <formula>IF($B30="Quoting",TRUE,FALSE)</formula>
    </cfRule>
    <cfRule type="expression" dxfId="13323" priority="25258">
      <formula>IF($B30="Quoting",TRUE,FALSE)</formula>
    </cfRule>
    <cfRule type="expression" dxfId="13322" priority="25259">
      <formula>IF($B30="Quoting",TRUE,FALSE)</formula>
    </cfRule>
    <cfRule type="expression" dxfId="13321" priority="25260">
      <formula>IF($B30="Quoting",TRUE,FALSE)</formula>
    </cfRule>
    <cfRule type="expression" dxfId="13320" priority="25261">
      <formula>IF($B30="Quoting",TRUE,FALSE)</formula>
    </cfRule>
    <cfRule type="expression" dxfId="13319" priority="25262">
      <formula>IF($B30="Quoting",TRUE,FALSE)</formula>
    </cfRule>
    <cfRule type="expression" dxfId="13318" priority="25263">
      <formula>IF($B30="Quoting",TRUE,FALSE)</formula>
    </cfRule>
    <cfRule type="expression" dxfId="13317" priority="25264">
      <formula>IF($B30="Quoting",TRUE,FALSE)</formula>
    </cfRule>
    <cfRule type="expression" dxfId="13316" priority="25265">
      <formula>IF($B30="Quoting",TRUE,FALSE)</formula>
    </cfRule>
    <cfRule type="expression" dxfId="13315" priority="25266">
      <formula>IF($B30="Quoting",TRUE,FALSE)</formula>
    </cfRule>
    <cfRule type="expression" dxfId="13314" priority="25267">
      <formula>IF($B30="Quoting",TRUE,FALSE)</formula>
    </cfRule>
    <cfRule type="expression" dxfId="13313" priority="25268">
      <formula>IF($B30="Quoting",TRUE,FALSE)</formula>
    </cfRule>
    <cfRule type="expression" dxfId="13312" priority="25269">
      <formula>IF($B30="Quoting",TRUE,FALSE)</formula>
    </cfRule>
    <cfRule type="expression" dxfId="13311" priority="25270">
      <formula>IF($B30="Quoting",TRUE,FALSE)</formula>
    </cfRule>
    <cfRule type="expression" dxfId="13310" priority="25271">
      <formula>IF($B30="Quoting",TRUE,FALSE)</formula>
    </cfRule>
    <cfRule type="expression" dxfId="13309" priority="25272">
      <formula>IF($B30="Quoting",TRUE,FALSE)</formula>
    </cfRule>
    <cfRule type="expression" dxfId="13308" priority="25273">
      <formula>IF($B30="Quoting",TRUE,FALSE)</formula>
    </cfRule>
    <cfRule type="expression" dxfId="13307" priority="25274">
      <formula>IF($B30="Quoting",TRUE,FALSE)</formula>
    </cfRule>
    <cfRule type="expression" dxfId="13306" priority="25275">
      <formula>IF($B30="Quoting",TRUE,FALSE)</formula>
    </cfRule>
    <cfRule type="expression" dxfId="13305" priority="25276">
      <formula>IF($B30="Quoting",TRUE,FALSE)</formula>
    </cfRule>
    <cfRule type="expression" dxfId="13304" priority="25277">
      <formula>IF($B30="Quoting",TRUE,FALSE)</formula>
    </cfRule>
    <cfRule type="expression" dxfId="13303" priority="25278">
      <formula>IF($B30="Quoting",TRUE,FALSE)</formula>
    </cfRule>
    <cfRule type="expression" dxfId="13302" priority="25279">
      <formula>IF($B30="Quoting",TRUE,FALSE)</formula>
    </cfRule>
    <cfRule type="expression" dxfId="13301" priority="25280">
      <formula>IF($B30="Quoting",TRUE,FALSE)</formula>
    </cfRule>
    <cfRule type="expression" dxfId="13300" priority="25281">
      <formula>IF($B30="Quoting",TRUE,FALSE)</formula>
    </cfRule>
    <cfRule type="expression" dxfId="13299" priority="25282">
      <formula>IF($B30="Quoting",TRUE,FALSE)</formula>
    </cfRule>
    <cfRule type="expression" dxfId="13298" priority="25283">
      <formula>IF($B30="Quoting",TRUE,FALSE)</formula>
    </cfRule>
    <cfRule type="expression" dxfId="13297" priority="25284">
      <formula>IF($B30="Quoting",TRUE,FALSE)</formula>
    </cfRule>
    <cfRule type="expression" dxfId="13296" priority="25285">
      <formula>IF($B30="Quoting",TRUE,FALSE)</formula>
    </cfRule>
    <cfRule type="expression" dxfId="13295" priority="25286">
      <formula>IF($B30="Quoting",TRUE,FALSE)</formula>
    </cfRule>
    <cfRule type="expression" dxfId="13294" priority="25287">
      <formula>IF($B30="Quoting",TRUE,FALSE)</formula>
    </cfRule>
    <cfRule type="expression" dxfId="13293" priority="25288">
      <formula>IF($B30="Quoting",TRUE,FALSE)</formula>
    </cfRule>
    <cfRule type="expression" dxfId="13292" priority="25289">
      <formula>IF($B30="Quoting",TRUE,FALSE)</formula>
    </cfRule>
    <cfRule type="expression" dxfId="13291" priority="25290">
      <formula>IF($B30="Quoting",TRUE,FALSE)</formula>
    </cfRule>
    <cfRule type="expression" dxfId="13290" priority="25291">
      <formula>IF($B30="Quoting",TRUE,FALSE)</formula>
    </cfRule>
    <cfRule type="expression" dxfId="13289" priority="25292">
      <formula>IF($B30="Quoting",TRUE,FALSE)</formula>
    </cfRule>
    <cfRule type="expression" dxfId="13288" priority="25293">
      <formula>IF($B30="Quoting",TRUE,FALSE)</formula>
    </cfRule>
    <cfRule type="expression" dxfId="13287" priority="25294">
      <formula>IF($B30="Quoting",TRUE,FALSE)</formula>
    </cfRule>
    <cfRule type="expression" dxfId="13286" priority="25295">
      <formula>IF($B30="Quoting",TRUE,FALSE)</formula>
    </cfRule>
    <cfRule type="expression" dxfId="13285" priority="25296">
      <formula>IF($B30="Quoting",TRUE,FALSE)</formula>
    </cfRule>
    <cfRule type="expression" dxfId="13284" priority="25297">
      <formula>IF($B30="Quoting",TRUE,FALSE)</formula>
    </cfRule>
    <cfRule type="expression" dxfId="13283" priority="25298">
      <formula>IF($B30="Quoting",TRUE,FALSE)</formula>
    </cfRule>
    <cfRule type="expression" dxfId="13282" priority="25299">
      <formula>IF($B30="Quoting",TRUE,FALSE)</formula>
    </cfRule>
    <cfRule type="expression" dxfId="13281" priority="25300">
      <formula>IF($B30="Quoting",TRUE,FALSE)</formula>
    </cfRule>
    <cfRule type="expression" dxfId="13280" priority="25301">
      <formula>IF($B30="Quoting",TRUE,FALSE)</formula>
    </cfRule>
    <cfRule type="expression" dxfId="13279" priority="25302">
      <formula>IF($B30="Quoting",TRUE,FALSE)</formula>
    </cfRule>
    <cfRule type="expression" dxfId="13278" priority="25303">
      <formula>IF($B30="Quoting",TRUE,FALSE)</formula>
    </cfRule>
    <cfRule type="expression" dxfId="13277" priority="25304">
      <formula>IF($B30="Quoting",TRUE,FALSE)</formula>
    </cfRule>
    <cfRule type="expression" dxfId="13276" priority="25305">
      <formula>IF($B30="Quoting",TRUE,FALSE)</formula>
    </cfRule>
    <cfRule type="expression" dxfId="13275" priority="25306">
      <formula>IF($B30="Quoting",TRUE,FALSE)</formula>
    </cfRule>
    <cfRule type="expression" dxfId="13274" priority="25307">
      <formula>IF($B30="Quoting",TRUE,FALSE)</formula>
    </cfRule>
    <cfRule type="expression" dxfId="13273" priority="25308">
      <formula>IF($B30="Quoting",TRUE,FALSE)</formula>
    </cfRule>
    <cfRule type="expression" dxfId="13272" priority="25309">
      <formula>IF($B30="Quoting",TRUE,FALSE)</formula>
    </cfRule>
    <cfRule type="expression" dxfId="13271" priority="25310">
      <formula>IF($B30="Quoting",TRUE,FALSE)</formula>
    </cfRule>
    <cfRule type="expression" dxfId="13270" priority="25311">
      <formula>IF($B30="Quoting",TRUE,FALSE)</formula>
    </cfRule>
    <cfRule type="expression" dxfId="13269" priority="25312">
      <formula>IF($B30="Quoting",TRUE,FALSE)</formula>
    </cfRule>
    <cfRule type="expression" dxfId="13268" priority="25313">
      <formula>IF($B30="Quoting",TRUE,FALSE)</formula>
    </cfRule>
    <cfRule type="expression" dxfId="13267" priority="25314">
      <formula>IF($B30="Quoting",TRUE,FALSE)</formula>
    </cfRule>
    <cfRule type="expression" dxfId="13266" priority="25315">
      <formula>IF($B30="Quoting",TRUE,FALSE)</formula>
    </cfRule>
    <cfRule type="expression" dxfId="13265" priority="25316">
      <formula>IF($B30="Quoting",TRUE,FALSE)</formula>
    </cfRule>
    <cfRule type="expression" dxfId="13264" priority="25317">
      <formula>IF($B30="Quoting",TRUE,FALSE)</formula>
    </cfRule>
    <cfRule type="expression" dxfId="13263" priority="25318">
      <formula>IF($B30="Quoting",TRUE,FALSE)</formula>
    </cfRule>
    <cfRule type="expression" dxfId="13262" priority="25319">
      <formula>IF($B30="Quoting",TRUE,FALSE)</formula>
    </cfRule>
    <cfRule type="expression" dxfId="13261" priority="25320">
      <formula>IF($B30="Quoting",TRUE,FALSE)</formula>
    </cfRule>
    <cfRule type="expression" dxfId="13260" priority="25321">
      <formula>IF($B30="Quoting",TRUE,FALSE)</formula>
    </cfRule>
    <cfRule type="expression" dxfId="13259" priority="25322">
      <formula>IF($B30="Quoting",TRUE,FALSE)</formula>
    </cfRule>
    <cfRule type="expression" dxfId="13258" priority="25323">
      <formula>IF($B30="Quoting",TRUE,FALSE)</formula>
    </cfRule>
    <cfRule type="expression" dxfId="13257" priority="25324">
      <formula>IF($B30="Quoting",TRUE,FALSE)</formula>
    </cfRule>
    <cfRule type="expression" dxfId="13256" priority="25325">
      <formula>IF($B30="Quoting",TRUE,FALSE)</formula>
    </cfRule>
    <cfRule type="expression" dxfId="13255" priority="25326">
      <formula>IF($B30="Quoting",TRUE,FALSE)</formula>
    </cfRule>
    <cfRule type="expression" dxfId="13254" priority="25327">
      <formula>IF($B30="Quoting",TRUE,FALSE)</formula>
    </cfRule>
    <cfRule type="expression" dxfId="13253" priority="25328">
      <formula>IF($B30="Quoting",TRUE,FALSE)</formula>
    </cfRule>
    <cfRule type="expression" dxfId="13252" priority="25329">
      <formula>IF($B30="Quoting",TRUE,FALSE)</formula>
    </cfRule>
    <cfRule type="expression" dxfId="13251" priority="25330">
      <formula>IF($B30="Quoting",TRUE,FALSE)</formula>
    </cfRule>
    <cfRule type="expression" dxfId="13250" priority="25331">
      <formula>IF($B30="Quoting",TRUE,FALSE)</formula>
    </cfRule>
    <cfRule type="expression" dxfId="13249" priority="25332">
      <formula>IF($B30="Quoting",TRUE,FALSE)</formula>
    </cfRule>
    <cfRule type="expression" dxfId="13248" priority="25333">
      <formula>IF($B30="Quoting",TRUE,FALSE)</formula>
    </cfRule>
    <cfRule type="expression" dxfId="13247" priority="25334">
      <formula>IF($B30="Quoting",TRUE,FALSE)</formula>
    </cfRule>
    <cfRule type="expression" dxfId="13246" priority="25335">
      <formula>IF($B30="Quoting",TRUE,FALSE)</formula>
    </cfRule>
    <cfRule type="expression" dxfId="13245" priority="25336">
      <formula>IF($B30="Quoting",TRUE,FALSE)</formula>
    </cfRule>
    <cfRule type="expression" dxfId="13244" priority="25337">
      <formula>IF($B30="Quoting",TRUE,FALSE)</formula>
    </cfRule>
    <cfRule type="expression" dxfId="13243" priority="25338">
      <formula>IF($B30="Quoting",TRUE,FALSE)</formula>
    </cfRule>
    <cfRule type="expression" dxfId="13242" priority="25339">
      <formula>IF($B30="Quoting",TRUE,FALSE)</formula>
    </cfRule>
    <cfRule type="expression" dxfId="13241" priority="25340">
      <formula>IF($B30="Quoting",TRUE,FALSE)</formula>
    </cfRule>
    <cfRule type="expression" dxfId="13240" priority="25341">
      <formula>IF($B30="Quoting",TRUE,FALSE)</formula>
    </cfRule>
    <cfRule type="expression" dxfId="13239" priority="25342">
      <formula>IF($B30="Quoting",TRUE,FALSE)</formula>
    </cfRule>
    <cfRule type="expression" dxfId="13238" priority="25343">
      <formula>IF($B30="Quoting",TRUE,FALSE)</formula>
    </cfRule>
    <cfRule type="expression" dxfId="13237" priority="25344">
      <formula>IF($B30="Quoting",TRUE,FALSE)</formula>
    </cfRule>
    <cfRule type="expression" dxfId="13236" priority="25345">
      <formula>IF($B30="Quoting",TRUE,FALSE)</formula>
    </cfRule>
    <cfRule type="expression" dxfId="13235" priority="25346">
      <formula>IF($B30="Quoting",TRUE,FALSE)</formula>
    </cfRule>
    <cfRule type="expression" dxfId="13234" priority="25347">
      <formula>IF($B30="Quoting",TRUE,FALSE)</formula>
    </cfRule>
    <cfRule type="expression" dxfId="13233" priority="25348">
      <formula>IF($B30="Quoting",TRUE,FALSE)</formula>
    </cfRule>
    <cfRule type="expression" dxfId="13232" priority="25349">
      <formula>IF($B30="Quoting",TRUE,FALSE)</formula>
    </cfRule>
    <cfRule type="expression" dxfId="13231" priority="25350">
      <formula>IF($B30="Quoting",TRUE,FALSE)</formula>
    </cfRule>
    <cfRule type="expression" dxfId="13230" priority="25351">
      <formula>IF($B30="Quoting",TRUE,FALSE)</formula>
    </cfRule>
    <cfRule type="expression" dxfId="13229" priority="25352">
      <formula>IF($B30="Quoting",TRUE,FALSE)</formula>
    </cfRule>
    <cfRule type="expression" dxfId="13228" priority="25353">
      <formula>IF($B30="Quoting",TRUE,FALSE)</formula>
    </cfRule>
    <cfRule type="expression" dxfId="13227" priority="25354">
      <formula>IF($B30="Quoting",TRUE,FALSE)</formula>
    </cfRule>
    <cfRule type="expression" dxfId="13226" priority="25355">
      <formula>IF($B30="Quoting",TRUE,FALSE)</formula>
    </cfRule>
    <cfRule type="expression" dxfId="13225" priority="25356">
      <formula>IF($B30="Quoting",TRUE,FALSE)</formula>
    </cfRule>
    <cfRule type="expression" dxfId="13224" priority="25357">
      <formula>IF($B30="Quoting",TRUE,FALSE)</formula>
    </cfRule>
    <cfRule type="expression" dxfId="13223" priority="25358">
      <formula>IF($B30="Quoting",TRUE,FALSE)</formula>
    </cfRule>
    <cfRule type="expression" dxfId="13222" priority="25359">
      <formula>IF($B30="Quoting",TRUE,FALSE)</formula>
    </cfRule>
    <cfRule type="expression" dxfId="13221" priority="25360">
      <formula>IF($B30="Quoting",TRUE,FALSE)</formula>
    </cfRule>
    <cfRule type="expression" dxfId="13220" priority="25361">
      <formula>IF($B30="Quoting",TRUE,FALSE)</formula>
    </cfRule>
    <cfRule type="expression" dxfId="13219" priority="25362">
      <formula>IF($B30="Quoting",TRUE,FALSE)</formula>
    </cfRule>
    <cfRule type="expression" dxfId="13218" priority="25363">
      <formula>IF($B30="Quoting",TRUE,FALSE)</formula>
    </cfRule>
    <cfRule type="expression" dxfId="13217" priority="25364">
      <formula>IF($B30="Quoting",TRUE,FALSE)</formula>
    </cfRule>
    <cfRule type="expression" dxfId="13216" priority="25365">
      <formula>IF($B30="Quoting",TRUE,FALSE)</formula>
    </cfRule>
    <cfRule type="expression" dxfId="13215" priority="25366">
      <formula>IF($B30="Quoting",TRUE,FALSE)</formula>
    </cfRule>
    <cfRule type="expression" dxfId="13214" priority="25367">
      <formula>IF($B30="Quoting",TRUE,FALSE)</formula>
    </cfRule>
    <cfRule type="expression" dxfId="13213" priority="25368">
      <formula>IF($B30="Quoting",TRUE,FALSE)</formula>
    </cfRule>
    <cfRule type="expression" dxfId="13212" priority="25369">
      <formula>IF($B30="Quoting",TRUE,FALSE)</formula>
    </cfRule>
    <cfRule type="expression" dxfId="13211" priority="25370">
      <formula>IF($B30="Quoting",TRUE,FALSE)</formula>
    </cfRule>
    <cfRule type="expression" dxfId="13210" priority="25371">
      <formula>IF($B30="Quoting",TRUE,FALSE)</formula>
    </cfRule>
    <cfRule type="expression" dxfId="13209" priority="25372">
      <formula>IF($B30="Quoting",TRUE,FALSE)</formula>
    </cfRule>
    <cfRule type="expression" dxfId="13208" priority="25373">
      <formula>IF($B30="Quoting",TRUE,FALSE)</formula>
    </cfRule>
    <cfRule type="expression" dxfId="13207" priority="25374">
      <formula>IF($B30="Quoting",TRUE,FALSE)</formula>
    </cfRule>
    <cfRule type="expression" dxfId="13206" priority="25375">
      <formula>IF($B30="Quoting",TRUE,FALSE)</formula>
    </cfRule>
    <cfRule type="expression" dxfId="13205" priority="25376">
      <formula>IF($B30="Quoting",TRUE,FALSE)</formula>
    </cfRule>
    <cfRule type="expression" dxfId="13204" priority="25377">
      <formula>IF($B30="Quoting",TRUE,FALSE)</formula>
    </cfRule>
    <cfRule type="expression" dxfId="13203" priority="25378">
      <formula>IF($B30="Quoting",TRUE,FALSE)</formula>
    </cfRule>
    <cfRule type="expression" dxfId="13202" priority="25379">
      <formula>IF($B30="Quoting",TRUE,FALSE)</formula>
    </cfRule>
    <cfRule type="expression" dxfId="13201" priority="25380">
      <formula>IF($B30="Quoting",TRUE,FALSE)</formula>
    </cfRule>
    <cfRule type="expression" dxfId="13200" priority="25381">
      <formula>IF($B30="Quoting",TRUE,FALSE)</formula>
    </cfRule>
    <cfRule type="expression" dxfId="13199" priority="25382">
      <formula>IF($B30="Quoting",TRUE,FALSE)</formula>
    </cfRule>
    <cfRule type="expression" dxfId="13198" priority="25383">
      <formula>IF($B30="Quoting",TRUE,FALSE)</formula>
    </cfRule>
    <cfRule type="expression" dxfId="13197" priority="25384">
      <formula>IF($B30="Quoting",TRUE,FALSE)</formula>
    </cfRule>
    <cfRule type="expression" dxfId="13196" priority="25385">
      <formula>IF($B30="Quoting",TRUE,FALSE)</formula>
    </cfRule>
    <cfRule type="expression" dxfId="13195" priority="25386">
      <formula>IF($B30="Quoting",TRUE,FALSE)</formula>
    </cfRule>
    <cfRule type="expression" dxfId="13194" priority="25387">
      <formula>IF($B30="Quoting",TRUE,FALSE)</formula>
    </cfRule>
    <cfRule type="expression" dxfId="13193" priority="25388">
      <formula>IF($B30="Quoting",TRUE,FALSE)</formula>
    </cfRule>
    <cfRule type="expression" dxfId="13192" priority="25389">
      <formula>IF($B30="Quoting",TRUE,FALSE)</formula>
    </cfRule>
    <cfRule type="expression" dxfId="13191" priority="25390">
      <formula>IF($B30="Quoting",TRUE,FALSE)</formula>
    </cfRule>
    <cfRule type="expression" dxfId="13190" priority="25391">
      <formula>IF($B30="Quoting",TRUE,FALSE)</formula>
    </cfRule>
    <cfRule type="expression" dxfId="13189" priority="25392">
      <formula>IF($B30="Quoting",TRUE,FALSE)</formula>
    </cfRule>
    <cfRule type="expression" dxfId="13188" priority="25393">
      <formula>IF($B30="Quoting",TRUE,FALSE)</formula>
    </cfRule>
    <cfRule type="expression" dxfId="13187" priority="25394">
      <formula>IF($B30="Quoting",TRUE,FALSE)</formula>
    </cfRule>
    <cfRule type="expression" dxfId="13186" priority="25395">
      <formula>IF($B30="Quoting",TRUE,FALSE)</formula>
    </cfRule>
    <cfRule type="expression" dxfId="13185" priority="25396">
      <formula>IF($B30="Quoting",TRUE,FALSE)</formula>
    </cfRule>
    <cfRule type="expression" dxfId="13184" priority="25397">
      <formula>IF($B30="Quoting",TRUE,FALSE)</formula>
    </cfRule>
    <cfRule type="expression" dxfId="13183" priority="25398">
      <formula>IF($B30="Quoting",TRUE,FALSE)</formula>
    </cfRule>
    <cfRule type="expression" dxfId="13182" priority="25399">
      <formula>IF($B30="Quoting",TRUE,FALSE)</formula>
    </cfRule>
    <cfRule type="expression" dxfId="13181" priority="25400">
      <formula>IF($B30="Quoting",TRUE,FALSE)</formula>
    </cfRule>
    <cfRule type="expression" dxfId="13180" priority="25401">
      <formula>IF($B30="Quoting",TRUE,FALSE)</formula>
    </cfRule>
    <cfRule type="expression" dxfId="13179" priority="25402">
      <formula>IF($B30="Quoting",TRUE,FALSE)</formula>
    </cfRule>
    <cfRule type="expression" dxfId="13178" priority="25403">
      <formula>IF($B30="Quoting",TRUE,FALSE)</formula>
    </cfRule>
    <cfRule type="expression" dxfId="13177" priority="25404">
      <formula>IF($B30="Quoting",TRUE,FALSE)</formula>
    </cfRule>
    <cfRule type="expression" dxfId="13176" priority="25405">
      <formula>IF($B30="Quoting",TRUE,FALSE)</formula>
    </cfRule>
    <cfRule type="expression" dxfId="13175" priority="25406">
      <formula>IF($B30="Quoting",TRUE,FALSE)</formula>
    </cfRule>
    <cfRule type="expression" dxfId="13174" priority="25407">
      <formula>IF($B30="Quoting",TRUE,FALSE)</formula>
    </cfRule>
    <cfRule type="expression" dxfId="13173" priority="25408">
      <formula>IF($B30="Quoting",TRUE,FALSE)</formula>
    </cfRule>
    <cfRule type="expression" dxfId="13172" priority="25409">
      <formula>IF($B30="Quoting",TRUE,FALSE)</formula>
    </cfRule>
    <cfRule type="expression" dxfId="13171" priority="25410">
      <formula>IF($B30="Quoting",TRUE,FALSE)</formula>
    </cfRule>
    <cfRule type="expression" dxfId="13170" priority="25411">
      <formula>IF($B30="Quoting",TRUE,FALSE)</formula>
    </cfRule>
    <cfRule type="expression" dxfId="13169" priority="25412">
      <formula>IF($B30="Quoting",TRUE,FALSE)</formula>
    </cfRule>
    <cfRule type="expression" dxfId="13168" priority="25413">
      <formula>IF($B30="Quoting",TRUE,FALSE)</formula>
    </cfRule>
    <cfRule type="expression" dxfId="13167" priority="25414">
      <formula>IF($B30="Quoting",TRUE,FALSE)</formula>
    </cfRule>
    <cfRule type="expression" dxfId="13166" priority="25415">
      <formula>IF($B30="Quoting",TRUE,FALSE)</formula>
    </cfRule>
    <cfRule type="expression" dxfId="13165" priority="25416">
      <formula>IF($B30="Quoting",TRUE,FALSE)</formula>
    </cfRule>
    <cfRule type="expression" dxfId="13164" priority="25417">
      <formula>IF($B30="Quoting",TRUE,FALSE)</formula>
    </cfRule>
    <cfRule type="expression" dxfId="13163" priority="25418">
      <formula>IF($B30="Quoting",TRUE,FALSE)</formula>
    </cfRule>
    <cfRule type="expression" dxfId="13162" priority="25419">
      <formula>IF($B30="Quoting",TRUE,FALSE)</formula>
    </cfRule>
    <cfRule type="expression" dxfId="13161" priority="25420">
      <formula>IF($B30="Quoting",TRUE,FALSE)</formula>
    </cfRule>
    <cfRule type="expression" dxfId="13160" priority="25421">
      <formula>IF($B30="Quoting",TRUE,FALSE)</formula>
    </cfRule>
    <cfRule type="expression" dxfId="13159" priority="25422">
      <formula>IF($B30="Quoting",TRUE,FALSE)</formula>
    </cfRule>
    <cfRule type="expression" dxfId="13158" priority="25423">
      <formula>IF($B30="Quoting",TRUE,FALSE)</formula>
    </cfRule>
    <cfRule type="expression" dxfId="13157" priority="25424">
      <formula>IF($B30="Quoting",TRUE,FALSE)</formula>
    </cfRule>
    <cfRule type="expression" dxfId="13156" priority="25425">
      <formula>IF($B30="Quoting",TRUE,FALSE)</formula>
    </cfRule>
    <cfRule type="expression" dxfId="13155" priority="25426">
      <formula>IF($B30="Quoting",TRUE,FALSE)</formula>
    </cfRule>
    <cfRule type="expression" dxfId="13154" priority="25427">
      <formula>IF($B30="Quoting",TRUE,FALSE)</formula>
    </cfRule>
    <cfRule type="expression" dxfId="13153" priority="25428">
      <formula>IF($B30="Quoting",TRUE,FALSE)</formula>
    </cfRule>
    <cfRule type="expression" dxfId="13152" priority="25429">
      <formula>IF($B30="Quoting",TRUE,FALSE)</formula>
    </cfRule>
    <cfRule type="expression" dxfId="13151" priority="25430">
      <formula>IF($B30="Quoting",TRUE,FALSE)</formula>
    </cfRule>
    <cfRule type="expression" dxfId="13150" priority="25431">
      <formula>IF($B30="Quoting",TRUE,FALSE)</formula>
    </cfRule>
    <cfRule type="expression" dxfId="13149" priority="25432">
      <formula>IF($B30="Quoting",TRUE,FALSE)</formula>
    </cfRule>
    <cfRule type="expression" dxfId="13148" priority="25433">
      <formula>IF($B30="Quoting",TRUE,FALSE)</formula>
    </cfRule>
    <cfRule type="expression" dxfId="13147" priority="25434">
      <formula>IF($B30="Quoting",TRUE,FALSE)</formula>
    </cfRule>
    <cfRule type="expression" dxfId="13146" priority="25435">
      <formula>IF($B30="Quoting",TRUE,FALSE)</formula>
    </cfRule>
    <cfRule type="expression" dxfId="13145" priority="25436">
      <formula>IF($B30="Quoting",TRUE,FALSE)</formula>
    </cfRule>
    <cfRule type="expression" dxfId="13144" priority="25437">
      <formula>IF($B30="Quoting",TRUE,FALSE)</formula>
    </cfRule>
    <cfRule type="expression" dxfId="13143" priority="25438">
      <formula>IF($B30="Quoting",TRUE,FALSE)</formula>
    </cfRule>
    <cfRule type="expression" dxfId="13142" priority="25439">
      <formula>IF($B30="Quoting",TRUE,FALSE)</formula>
    </cfRule>
    <cfRule type="expression" dxfId="13141" priority="25440">
      <formula>IF($B30="Quoting",TRUE,FALSE)</formula>
    </cfRule>
    <cfRule type="expression" dxfId="13140" priority="25441">
      <formula>IF($B30="Quoting",TRUE,FALSE)</formula>
    </cfRule>
    <cfRule type="expression" dxfId="13139" priority="25442">
      <formula>IF($B30="Quoting",TRUE,FALSE)</formula>
    </cfRule>
    <cfRule type="expression" dxfId="13138" priority="25443">
      <formula>IF($B30="Quoting",TRUE,FALSE)</formula>
    </cfRule>
    <cfRule type="expression" dxfId="13137" priority="25444">
      <formula>IF($B30="Quoting",TRUE,FALSE)</formula>
    </cfRule>
    <cfRule type="expression" dxfId="13136" priority="25445">
      <formula>IF($B30="Quoting",TRUE,FALSE)</formula>
    </cfRule>
    <cfRule type="expression" dxfId="13135" priority="25446">
      <formula>IF($B30="Quoting",TRUE,FALSE)</formula>
    </cfRule>
    <cfRule type="expression" dxfId="13134" priority="25447">
      <formula>IF($B30="Quoting",TRUE,FALSE)</formula>
    </cfRule>
    <cfRule type="expression" dxfId="13133" priority="25448">
      <formula>IF($B30="Quoting",TRUE,FALSE)</formula>
    </cfRule>
    <cfRule type="expression" dxfId="13132" priority="25449">
      <formula>IF($B30="Quoting",TRUE,FALSE)</formula>
    </cfRule>
    <cfRule type="expression" dxfId="13131" priority="25450">
      <formula>IF($B30="Quoting",TRUE,FALSE)</formula>
    </cfRule>
    <cfRule type="expression" dxfId="13130" priority="25451">
      <formula>IF($B30="Quoting",TRUE,FALSE)</formula>
    </cfRule>
    <cfRule type="expression" dxfId="13129" priority="25452">
      <formula>IF($B30="Quoting",TRUE,FALSE)</formula>
    </cfRule>
    <cfRule type="expression" dxfId="13128" priority="25453">
      <formula>IF($B30="Quoting",TRUE,FALSE)</formula>
    </cfRule>
    <cfRule type="expression" dxfId="13127" priority="25454">
      <formula>IF($B30="Quoting",TRUE,FALSE)</formula>
    </cfRule>
    <cfRule type="expression" dxfId="13126" priority="25455">
      <formula>IF($B30="Quoting",TRUE,FALSE)</formula>
    </cfRule>
    <cfRule type="expression" dxfId="13125" priority="25456">
      <formula>IF($B30="Quoting",TRUE,FALSE)</formula>
    </cfRule>
    <cfRule type="expression" dxfId="13124" priority="25457">
      <formula>IF($B30="Quoting",TRUE,FALSE)</formula>
    </cfRule>
    <cfRule type="expression" dxfId="13123" priority="25458">
      <formula>IF($B30="Quoting",TRUE,FALSE)</formula>
    </cfRule>
    <cfRule type="expression" dxfId="13122" priority="25459">
      <formula>IF($B30="Quoting",TRUE,FALSE)</formula>
    </cfRule>
    <cfRule type="expression" dxfId="13121" priority="25460">
      <formula>IF($B30="Quoting",TRUE,FALSE)</formula>
    </cfRule>
    <cfRule type="expression" dxfId="13120" priority="25461">
      <formula>IF($B30="Quoting",TRUE,FALSE)</formula>
    </cfRule>
    <cfRule type="expression" dxfId="13119" priority="25462">
      <formula>IF($B30="Quoting",TRUE,FALSE)</formula>
    </cfRule>
    <cfRule type="expression" dxfId="13118" priority="25463">
      <formula>IF($B30="Quoting",TRUE,FALSE)</formula>
    </cfRule>
    <cfRule type="expression" dxfId="13117" priority="25464">
      <formula>IF($B30="Quoting",TRUE,FALSE)</formula>
    </cfRule>
    <cfRule type="expression" dxfId="13116" priority="25465">
      <formula>IF($B30="Quoting",TRUE,FALSE)</formula>
    </cfRule>
    <cfRule type="expression" dxfId="13115" priority="25466">
      <formula>IF($B30="Quoting",TRUE,FALSE)</formula>
    </cfRule>
    <cfRule type="expression" dxfId="13114" priority="25467">
      <formula>IF($B30="Quoting",TRUE,FALSE)</formula>
    </cfRule>
    <cfRule type="expression" dxfId="13113" priority="25468">
      <formula>IF($B30="Quoting",TRUE,FALSE)</formula>
    </cfRule>
    <cfRule type="expression" dxfId="13112" priority="25469">
      <formula>IF($B30="Quoting",TRUE,FALSE)</formula>
    </cfRule>
    <cfRule type="expression" dxfId="13111" priority="25470">
      <formula>IF($B30="Quoting",TRUE,FALSE)</formula>
    </cfRule>
    <cfRule type="expression" dxfId="13110" priority="25471">
      <formula>IF($B30="Quoting",TRUE,FALSE)</formula>
    </cfRule>
    <cfRule type="expression" dxfId="13109" priority="25472">
      <formula>IF($B30="Quoting",TRUE,FALSE)</formula>
    </cfRule>
    <cfRule type="expression" dxfId="13108" priority="25473">
      <formula>IF($B30="Quoting",TRUE,FALSE)</formula>
    </cfRule>
    <cfRule type="expression" dxfId="13107" priority="25474">
      <formula>IF($B30="Quoting",TRUE,FALSE)</formula>
    </cfRule>
    <cfRule type="expression" dxfId="13106" priority="25475">
      <formula>IF($B30="Quoting",TRUE,FALSE)</formula>
    </cfRule>
    <cfRule type="expression" dxfId="13105" priority="25476">
      <formula>IF($B30="Quoting",TRUE,FALSE)</formula>
    </cfRule>
    <cfRule type="expression" dxfId="13104" priority="25477">
      <formula>IF($B30="Quoting",TRUE,FALSE)</formula>
    </cfRule>
    <cfRule type="expression" dxfId="13103" priority="25478">
      <formula>IF($B30="Quoting",TRUE,FALSE)</formula>
    </cfRule>
    <cfRule type="expression" dxfId="13102" priority="25479">
      <formula>IF($B30="Quoting",TRUE,FALSE)</formula>
    </cfRule>
    <cfRule type="expression" dxfId="13101" priority="25480">
      <formula>IF($B30="Quoting",TRUE,FALSE)</formula>
    </cfRule>
    <cfRule type="expression" dxfId="13100" priority="25481">
      <formula>IF($B30="Quoting",TRUE,FALSE)</formula>
    </cfRule>
    <cfRule type="expression" dxfId="13099" priority="25482">
      <formula>IF($B30="Quoting",TRUE,FALSE)</formula>
    </cfRule>
    <cfRule type="expression" dxfId="13098" priority="25483">
      <formula>IF($B30="Quoting",TRUE,FALSE)</formula>
    </cfRule>
    <cfRule type="expression" dxfId="13097" priority="25484">
      <formula>IF($B30="Quoting",TRUE,FALSE)</formula>
    </cfRule>
    <cfRule type="expression" dxfId="13096" priority="25485">
      <formula>IF($B30="Quoting",TRUE,FALSE)</formula>
    </cfRule>
    <cfRule type="expression" dxfId="13095" priority="25486">
      <formula>IF($B30="Quoting",TRUE,FALSE)</formula>
    </cfRule>
    <cfRule type="expression" dxfId="13094" priority="25487">
      <formula>IF($B30="Quoting",TRUE,FALSE)</formula>
    </cfRule>
    <cfRule type="expression" dxfId="13093" priority="25488">
      <formula>IF($B30="Quoting",TRUE,FALSE)</formula>
    </cfRule>
    <cfRule type="expression" dxfId="13092" priority="25489">
      <formula>IF($B30="Quoting",TRUE,FALSE)</formula>
    </cfRule>
    <cfRule type="expression" dxfId="13091" priority="25490">
      <formula>IF($B30="Quoting",TRUE,FALSE)</formula>
    </cfRule>
    <cfRule type="expression" dxfId="13090" priority="25491">
      <formula>IF($B30="Quoting",TRUE,FALSE)</formula>
    </cfRule>
    <cfRule type="expression" dxfId="13089" priority="25492">
      <formula>IF($B30="Quoting",TRUE,FALSE)</formula>
    </cfRule>
    <cfRule type="expression" dxfId="13088" priority="25493">
      <formula>IF($B30="Quoting",TRUE,FALSE)</formula>
    </cfRule>
    <cfRule type="expression" dxfId="13087" priority="25494">
      <formula>IF($B30="Quoting",TRUE,FALSE)</formula>
    </cfRule>
    <cfRule type="expression" dxfId="13086" priority="25495">
      <formula>IF($B30="Quoting",TRUE,FALSE)</formula>
    </cfRule>
    <cfRule type="expression" dxfId="13085" priority="25496">
      <formula>IF($B30="Quoting",TRUE,FALSE)</formula>
    </cfRule>
    <cfRule type="expression" dxfId="13084" priority="25497">
      <formula>IF($B30="Quoting",TRUE,FALSE)</formula>
    </cfRule>
    <cfRule type="expression" dxfId="13083" priority="25498">
      <formula>IF($B30="Quoting",TRUE,FALSE)</formula>
    </cfRule>
    <cfRule type="expression" dxfId="13082" priority="25499">
      <formula>IF($B30="Quoting",TRUE,FALSE)</formula>
    </cfRule>
    <cfRule type="expression" dxfId="13081" priority="25500">
      <formula>IF($B30="Quoting",TRUE,FALSE)</formula>
    </cfRule>
    <cfRule type="expression" dxfId="13080" priority="25501">
      <formula>IF($B30="Quoting",TRUE,FALSE)</formula>
    </cfRule>
    <cfRule type="expression" dxfId="13079" priority="25502">
      <formula>IF($B30="Quoting",TRUE,FALSE)</formula>
    </cfRule>
    <cfRule type="expression" dxfId="13078" priority="25503">
      <formula>IF($B30="Quoting",TRUE,FALSE)</formula>
    </cfRule>
    <cfRule type="expression" dxfId="13077" priority="25504">
      <formula>IF($B30="Quoting",TRUE,FALSE)</formula>
    </cfRule>
    <cfRule type="expression" dxfId="13076" priority="25505">
      <formula>IF($B30="Quoting",TRUE,FALSE)</formula>
    </cfRule>
    <cfRule type="expression" dxfId="13075" priority="25506">
      <formula>IF($B30="Quoting",TRUE,FALSE)</formula>
    </cfRule>
    <cfRule type="expression" dxfId="13074" priority="25507">
      <formula>IF($B30="Quoting",TRUE,FALSE)</formula>
    </cfRule>
    <cfRule type="expression" dxfId="13073" priority="25508">
      <formula>IF($B30="Quoting",TRUE,FALSE)</formula>
    </cfRule>
    <cfRule type="expression" dxfId="13072" priority="25509">
      <formula>IF($B30="Quoting",TRUE,FALSE)</formula>
    </cfRule>
    <cfRule type="expression" dxfId="13071" priority="25510">
      <formula>IF($B30="Quoting",TRUE,FALSE)</formula>
    </cfRule>
    <cfRule type="expression" dxfId="13070" priority="25511">
      <formula>IF($B30="Quoting",TRUE,FALSE)</formula>
    </cfRule>
    <cfRule type="expression" dxfId="13069" priority="25512">
      <formula>IF($B30="Quoting",TRUE,FALSE)</formula>
    </cfRule>
    <cfRule type="expression" dxfId="13068" priority="25513">
      <formula>IF($B30="Quoting",TRUE,FALSE)</formula>
    </cfRule>
    <cfRule type="expression" dxfId="13067" priority="25514">
      <formula>IF($B30="Quoting",TRUE,FALSE)</formula>
    </cfRule>
    <cfRule type="expression" dxfId="13066" priority="25515">
      <formula>IF($B30="Quoting",TRUE,FALSE)</formula>
    </cfRule>
    <cfRule type="expression" dxfId="13065" priority="25516">
      <formula>IF($B30="Quoting",TRUE,FALSE)</formula>
    </cfRule>
    <cfRule type="expression" dxfId="13064" priority="25517">
      <formula>IF($B30="Quoting",TRUE,FALSE)</formula>
    </cfRule>
    <cfRule type="expression" dxfId="13063" priority="25518">
      <formula>IF($B30="Quoting",TRUE,FALSE)</formula>
    </cfRule>
    <cfRule type="expression" dxfId="13062" priority="25519">
      <formula>IF($B30="Quoting",TRUE,FALSE)</formula>
    </cfRule>
    <cfRule type="expression" dxfId="13061" priority="25520">
      <formula>IF($B30="Quoting",TRUE,FALSE)</formula>
    </cfRule>
    <cfRule type="expression" dxfId="13060" priority="25521">
      <formula>IF($B30="Quoting",TRUE,FALSE)</formula>
    </cfRule>
    <cfRule type="expression" dxfId="13059" priority="25522">
      <formula>IF($B30="Quoting",TRUE,FALSE)</formula>
    </cfRule>
    <cfRule type="expression" dxfId="13058" priority="25523">
      <formula>IF($B30="Quoting",TRUE,FALSE)</formula>
    </cfRule>
    <cfRule type="expression" dxfId="13057" priority="25524">
      <formula>IF($B30="Quoting",TRUE,FALSE)</formula>
    </cfRule>
    <cfRule type="expression" dxfId="13056" priority="25525">
      <formula>IF($B30="Quoting",TRUE,FALSE)</formula>
    </cfRule>
    <cfRule type="expression" dxfId="13055" priority="25526">
      <formula>IF($B30="Quoting",TRUE,FALSE)</formula>
    </cfRule>
    <cfRule type="expression" dxfId="13054" priority="25527">
      <formula>IF($B30="Quoting",TRUE,FALSE)</formula>
    </cfRule>
    <cfRule type="expression" dxfId="13053" priority="25528">
      <formula>IF($B30="Quoting",TRUE,FALSE)</formula>
    </cfRule>
    <cfRule type="expression" dxfId="13052" priority="25529">
      <formula>IF($B30="Quoting",TRUE,FALSE)</formula>
    </cfRule>
    <cfRule type="expression" dxfId="13051" priority="25530">
      <formula>IF($B30="Quoting",TRUE,FALSE)</formula>
    </cfRule>
    <cfRule type="expression" dxfId="13050" priority="25531">
      <formula>IF($B30="Quoting",TRUE,FALSE)</formula>
    </cfRule>
    <cfRule type="expression" dxfId="13049" priority="25532">
      <formula>IF($B30="Quoting",TRUE,FALSE)</formula>
    </cfRule>
    <cfRule type="expression" dxfId="13048" priority="25533">
      <formula>IF($B30="Quoting",TRUE,FALSE)</formula>
    </cfRule>
    <cfRule type="expression" dxfId="13047" priority="25534">
      <formula>IF($B30="Quoting",TRUE,FALSE)</formula>
    </cfRule>
    <cfRule type="expression" dxfId="13046" priority="25535">
      <formula>IF($B30="Quoting",TRUE,FALSE)</formula>
    </cfRule>
    <cfRule type="expression" dxfId="13045" priority="25536">
      <formula>IF($B30="Quoting",TRUE,FALSE)</formula>
    </cfRule>
    <cfRule type="expression" dxfId="13044" priority="25537">
      <formula>IF($B30="Quoting",TRUE,FALSE)</formula>
    </cfRule>
    <cfRule type="expression" dxfId="13043" priority="25538">
      <formula>IF($B30="Quoting",TRUE,FALSE)</formula>
    </cfRule>
    <cfRule type="expression" dxfId="13042" priority="25539">
      <formula>IF($B30="Quoting",TRUE,FALSE)</formula>
    </cfRule>
    <cfRule type="expression" dxfId="13041" priority="25540">
      <formula>IF($B30="Quoting",TRUE,FALSE)</formula>
    </cfRule>
    <cfRule type="expression" dxfId="13040" priority="25541">
      <formula>IF($B30="Quoting",TRUE,FALSE)</formula>
    </cfRule>
    <cfRule type="expression" dxfId="13039" priority="25542">
      <formula>IF($B30="Quoting",TRUE,FALSE)</formula>
    </cfRule>
    <cfRule type="expression" dxfId="13038" priority="25543">
      <formula>IF($B30="Quoting",TRUE,FALSE)</formula>
    </cfRule>
    <cfRule type="expression" dxfId="13037" priority="25544">
      <formula>IF($B30="Quoting",TRUE,FALSE)</formula>
    </cfRule>
    <cfRule type="expression" dxfId="13036" priority="25545">
      <formula>IF($B30="Quoting",TRUE,FALSE)</formula>
    </cfRule>
    <cfRule type="expression" dxfId="13035" priority="25546">
      <formula>IF($B30="Quoting",TRUE,FALSE)</formula>
    </cfRule>
    <cfRule type="expression" dxfId="13034" priority="25547">
      <formula>IF($B30="Quoting",TRUE,FALSE)</formula>
    </cfRule>
    <cfRule type="expression" dxfId="13033" priority="25548">
      <formula>IF($B30="Quoting",TRUE,FALSE)</formula>
    </cfRule>
    <cfRule type="expression" dxfId="13032" priority="25549">
      <formula>IF($B30="Quoting",TRUE,FALSE)</formula>
    </cfRule>
    <cfRule type="expression" dxfId="13031" priority="25550">
      <formula>IF($B30="Quoting",TRUE,FALSE)</formula>
    </cfRule>
    <cfRule type="expression" dxfId="13030" priority="25551">
      <formula>IF($B30="Quoting",TRUE,FALSE)</formula>
    </cfRule>
    <cfRule type="expression" dxfId="13029" priority="25552">
      <formula>IF($B30="Quoting",TRUE,FALSE)</formula>
    </cfRule>
    <cfRule type="expression" dxfId="13028" priority="25553">
      <formula>IF($B30="Quoting",TRUE,FALSE)</formula>
    </cfRule>
    <cfRule type="expression" dxfId="13027" priority="25554">
      <formula>IF($B30="Quoting",TRUE,FALSE)</formula>
    </cfRule>
    <cfRule type="expression" dxfId="13026" priority="25555">
      <formula>IF($B30="Quoting",TRUE,FALSE)</formula>
    </cfRule>
    <cfRule type="expression" dxfId="13025" priority="25556">
      <formula>IF($B30="Quoting",TRUE,FALSE)</formula>
    </cfRule>
    <cfRule type="expression" dxfId="13024" priority="25557">
      <formula>IF($B30="Quoting",TRUE,FALSE)</formula>
    </cfRule>
    <cfRule type="expression" dxfId="13023" priority="25558">
      <formula>IF($B30="Quoting",TRUE,FALSE)</formula>
    </cfRule>
    <cfRule type="expression" dxfId="13022" priority="25559">
      <formula>IF($B30="Quoting",TRUE,FALSE)</formula>
    </cfRule>
    <cfRule type="expression" dxfId="13021" priority="25560">
      <formula>IF($B30="Quoting",TRUE,FALSE)</formula>
    </cfRule>
    <cfRule type="expression" dxfId="13020" priority="25561">
      <formula>IF($B30="Quoting",TRUE,FALSE)</formula>
    </cfRule>
    <cfRule type="expression" dxfId="13019" priority="25562">
      <formula>IF($B30="Quoting",TRUE,FALSE)</formula>
    </cfRule>
    <cfRule type="expression" dxfId="13018" priority="25563">
      <formula>IF($B30="Quoting",TRUE,FALSE)</formula>
    </cfRule>
    <cfRule type="expression" dxfId="13017" priority="25564">
      <formula>IF($B30="Quoting",TRUE,FALSE)</formula>
    </cfRule>
    <cfRule type="expression" dxfId="13016" priority="25565">
      <formula>IF($B30="Quoting",TRUE,FALSE)</formula>
    </cfRule>
    <cfRule type="expression" dxfId="13015" priority="25566">
      <formula>IF($B30="Quoting",TRUE,FALSE)</formula>
    </cfRule>
    <cfRule type="expression" dxfId="13014" priority="25567">
      <formula>IF($B30="Quoting",TRUE,FALSE)</formula>
    </cfRule>
    <cfRule type="expression" dxfId="13013" priority="25568">
      <formula>IF($B30="Quoting",TRUE,FALSE)</formula>
    </cfRule>
    <cfRule type="expression" dxfId="13012" priority="25569">
      <formula>IF($B30="Quoting",TRUE,FALSE)</formula>
    </cfRule>
    <cfRule type="expression" dxfId="13011" priority="25570">
      <formula>IF($B30="Quoting",TRUE,FALSE)</formula>
    </cfRule>
    <cfRule type="expression" dxfId="13010" priority="25571">
      <formula>IF($B30="Quoting",TRUE,FALSE)</formula>
    </cfRule>
    <cfRule type="expression" dxfId="13009" priority="25572">
      <formula>IF($B30="Quoting",TRUE,FALSE)</formula>
    </cfRule>
    <cfRule type="expression" dxfId="13008" priority="25573">
      <formula>IF($B30="Quoting",TRUE,FALSE)</formula>
    </cfRule>
    <cfRule type="expression" dxfId="13007" priority="25574">
      <formula>IF($B30="Quoting",TRUE,FALSE)</formula>
    </cfRule>
    <cfRule type="expression" dxfId="13006" priority="25575">
      <formula>IF($B30="Quoting",TRUE,FALSE)</formula>
    </cfRule>
    <cfRule type="expression" dxfId="13005" priority="25576">
      <formula>IF($B30="Quoting",TRUE,FALSE)</formula>
    </cfRule>
    <cfRule type="expression" dxfId="13004" priority="25577">
      <formula>IF($B30="Quoting",TRUE,FALSE)</formula>
    </cfRule>
    <cfRule type="expression" dxfId="13003" priority="25578">
      <formula>IF($B30="Quoting",TRUE,FALSE)</formula>
    </cfRule>
    <cfRule type="expression" dxfId="13002" priority="25579">
      <formula>IF($B30="Quoting",TRUE,FALSE)</formula>
    </cfRule>
    <cfRule type="expression" dxfId="13001" priority="25580">
      <formula>IF($B30="Quoting",TRUE,FALSE)</formula>
    </cfRule>
    <cfRule type="expression" dxfId="13000" priority="25581">
      <formula>IF($B30="Quoting",TRUE,FALSE)</formula>
    </cfRule>
    <cfRule type="expression" dxfId="12999" priority="25582">
      <formula>IF($B30="Quoting",TRUE,FALSE)</formula>
    </cfRule>
    <cfRule type="expression" dxfId="12998" priority="25583">
      <formula>IF($B30="Quoting",TRUE,FALSE)</formula>
    </cfRule>
    <cfRule type="expression" dxfId="12997" priority="25584">
      <formula>IF($B30="Quoting",TRUE,FALSE)</formula>
    </cfRule>
    <cfRule type="expression" dxfId="12996" priority="25585">
      <formula>IF($B30="Quoting",TRUE,FALSE)</formula>
    </cfRule>
    <cfRule type="expression" dxfId="12995" priority="25586">
      <formula>IF($B30="Quoting",TRUE,FALSE)</formula>
    </cfRule>
    <cfRule type="expression" dxfId="12994" priority="25587">
      <formula>IF($B30="Quoting",TRUE,FALSE)</formula>
    </cfRule>
    <cfRule type="expression" dxfId="12993" priority="25588">
      <formula>IF($B30="Quoting",TRUE,FALSE)</formula>
    </cfRule>
    <cfRule type="expression" dxfId="12992" priority="25589">
      <formula>IF($B30="Quoting",TRUE,FALSE)</formula>
    </cfRule>
    <cfRule type="expression" dxfId="12991" priority="25590">
      <formula>IF($B30="Quoting",TRUE,FALSE)</formula>
    </cfRule>
    <cfRule type="expression" dxfId="12990" priority="25591">
      <formula>IF($B30="Quoting",TRUE,FALSE)</formula>
    </cfRule>
    <cfRule type="expression" dxfId="12989" priority="25592">
      <formula>IF($B30="Quoting",TRUE,FALSE)</formula>
    </cfRule>
    <cfRule type="expression" dxfId="12988" priority="25593">
      <formula>IF($B30="Quoting",TRUE,FALSE)</formula>
    </cfRule>
    <cfRule type="expression" dxfId="12987" priority="25594">
      <formula>IF($B30="Quoting",TRUE,FALSE)</formula>
    </cfRule>
    <cfRule type="expression" dxfId="12986" priority="25595">
      <formula>IF($B30="Quoting",TRUE,FALSE)</formula>
    </cfRule>
    <cfRule type="expression" dxfId="12985" priority="25596">
      <formula>IF($B30="Quoting",TRUE,FALSE)</formula>
    </cfRule>
    <cfRule type="expression" dxfId="12984" priority="25597">
      <formula>IF($B30="Quoting",TRUE,FALSE)</formula>
    </cfRule>
    <cfRule type="expression" dxfId="12983" priority="25598">
      <formula>IF($B30="Quoting",TRUE,FALSE)</formula>
    </cfRule>
    <cfRule type="expression" dxfId="12982" priority="25599">
      <formula>IF($B30="Quoting",TRUE,FALSE)</formula>
    </cfRule>
    <cfRule type="expression" dxfId="12981" priority="25600">
      <formula>IF($B30="Quoting",TRUE,FALSE)</formula>
    </cfRule>
    <cfRule type="expression" dxfId="12980" priority="25601">
      <formula>IF($B30="Quoting",TRUE,FALSE)</formula>
    </cfRule>
    <cfRule type="expression" dxfId="12979" priority="25602">
      <formula>IF($B30="Quoting",TRUE,FALSE)</formula>
    </cfRule>
    <cfRule type="expression" dxfId="12978" priority="25603">
      <formula>IF($B30="Quoting",TRUE,FALSE)</formula>
    </cfRule>
    <cfRule type="expression" dxfId="12977" priority="25604">
      <formula>IF($B30="Quoting",TRUE,FALSE)</formula>
    </cfRule>
    <cfRule type="expression" dxfId="12976" priority="25605">
      <formula>IF($B30="Quoting",TRUE,FALSE)</formula>
    </cfRule>
    <cfRule type="expression" dxfId="12975" priority="25606">
      <formula>IF($B30="Quoting",TRUE,FALSE)</formula>
    </cfRule>
    <cfRule type="expression" dxfId="12974" priority="25607">
      <formula>IF($B30="Quoting",TRUE,FALSE)</formula>
    </cfRule>
    <cfRule type="expression" dxfId="12973" priority="25608">
      <formula>IF($B30="Quoting",TRUE,FALSE)</formula>
    </cfRule>
    <cfRule type="expression" dxfId="12972" priority="25609">
      <formula>IF($B30="Quoting",TRUE,FALSE)</formula>
    </cfRule>
    <cfRule type="expression" dxfId="12971" priority="25610">
      <formula>IF($B30="Quoting",TRUE,FALSE)</formula>
    </cfRule>
    <cfRule type="expression" dxfId="12970" priority="25611">
      <formula>IF($B30="Quoting",TRUE,FALSE)</formula>
    </cfRule>
    <cfRule type="expression" dxfId="12969" priority="25612">
      <formula>IF($B30="Quoting",TRUE,FALSE)</formula>
    </cfRule>
    <cfRule type="expression" dxfId="12968" priority="25613">
      <formula>IF($B30="Quoting",TRUE,FALSE)</formula>
    </cfRule>
    <cfRule type="expression" dxfId="12967" priority="25614">
      <formula>IF($B30="Quoting",TRUE,FALSE)</formula>
    </cfRule>
    <cfRule type="expression" dxfId="12966" priority="25615">
      <formula>IF($B30="Quoting",TRUE,FALSE)</formula>
    </cfRule>
    <cfRule type="expression" dxfId="12965" priority="25616">
      <formula>IF($B30="Quoting",TRUE,FALSE)</formula>
    </cfRule>
    <cfRule type="expression" dxfId="12964" priority="25617">
      <formula>IF($B30="Quoting",TRUE,FALSE)</formula>
    </cfRule>
    <cfRule type="expression" dxfId="12963" priority="25618">
      <formula>IF($B30="Quoting",TRUE,FALSE)</formula>
    </cfRule>
    <cfRule type="expression" dxfId="12962" priority="25619">
      <formula>IF($B30="Quoting",TRUE,FALSE)</formula>
    </cfRule>
    <cfRule type="expression" dxfId="12961" priority="25620">
      <formula>IF($B30="Quoting",TRUE,FALSE)</formula>
    </cfRule>
    <cfRule type="expression" dxfId="12960" priority="25621">
      <formula>IF($B30="Quoting",TRUE,FALSE)</formula>
    </cfRule>
    <cfRule type="expression" dxfId="12959" priority="25622">
      <formula>IF($B30="Quoting",TRUE,FALSE)</formula>
    </cfRule>
    <cfRule type="expression" dxfId="12958" priority="25623">
      <formula>IF($B30="Quoting",TRUE,FALSE)</formula>
    </cfRule>
    <cfRule type="expression" dxfId="12957" priority="25624">
      <formula>IF($B30="Quoting",TRUE,FALSE)</formula>
    </cfRule>
    <cfRule type="expression" dxfId="12956" priority="25625">
      <formula>IF($B30="Quoting",TRUE,FALSE)</formula>
    </cfRule>
    <cfRule type="expression" dxfId="12955" priority="25626">
      <formula>IF($B30="Quoting",TRUE,FALSE)</formula>
    </cfRule>
    <cfRule type="expression" dxfId="12954" priority="25627">
      <formula>IF($B30="Quoting",TRUE,FALSE)</formula>
    </cfRule>
    <cfRule type="expression" dxfId="12953" priority="25628">
      <formula>IF($B30="Quoting",TRUE,FALSE)</formula>
    </cfRule>
    <cfRule type="expression" dxfId="12952" priority="25629">
      <formula>IF($B30="Quoting",TRUE,FALSE)</formula>
    </cfRule>
    <cfRule type="expression" dxfId="12951" priority="25630">
      <formula>IF($B30="Quoting",TRUE,FALSE)</formula>
    </cfRule>
    <cfRule type="expression" dxfId="12950" priority="25631">
      <formula>IF($B30="Quoting",TRUE,FALSE)</formula>
    </cfRule>
    <cfRule type="expression" dxfId="12949" priority="25632">
      <formula>IF($B30="Quoting",TRUE,FALSE)</formula>
    </cfRule>
    <cfRule type="expression" dxfId="12948" priority="25633">
      <formula>IF($B30="Quoting",TRUE,FALSE)</formula>
    </cfRule>
    <cfRule type="expression" dxfId="12947" priority="25634">
      <formula>IF($B30="Quoting",TRUE,FALSE)</formula>
    </cfRule>
    <cfRule type="expression" dxfId="12946" priority="25635">
      <formula>IF($B30="Quoting",TRUE,FALSE)</formula>
    </cfRule>
    <cfRule type="expression" dxfId="12945" priority="25636">
      <formula>IF($B30="Quoting",TRUE,FALSE)</formula>
    </cfRule>
    <cfRule type="expression" dxfId="12944" priority="25637">
      <formula>IF($B30="Quoting",TRUE,FALSE)</formula>
    </cfRule>
    <cfRule type="expression" dxfId="12943" priority="25638">
      <formula>IF($B30="Quoting",TRUE,FALSE)</formula>
    </cfRule>
    <cfRule type="expression" dxfId="12942" priority="25639">
      <formula>IF($B30="Quoting",TRUE,FALSE)</formula>
    </cfRule>
    <cfRule type="expression" dxfId="12941" priority="25640">
      <formula>IF($B30="Quoting",TRUE,FALSE)</formula>
    </cfRule>
    <cfRule type="expression" dxfId="12940" priority="25641">
      <formula>IF($B30="Quoting",TRUE,FALSE)</formula>
    </cfRule>
    <cfRule type="expression" dxfId="12939" priority="25642">
      <formula>IF($B30="Quoting",TRUE,FALSE)</formula>
    </cfRule>
    <cfRule type="expression" dxfId="12938" priority="25643">
      <formula>IF($B30="Quoting",TRUE,FALSE)</formula>
    </cfRule>
    <cfRule type="expression" dxfId="12937" priority="25644">
      <formula>IF($B30="Quoting",TRUE,FALSE)</formula>
    </cfRule>
    <cfRule type="expression" dxfId="12936" priority="25645">
      <formula>IF($B30="Quoting",TRUE,FALSE)</formula>
    </cfRule>
    <cfRule type="expression" dxfId="12935" priority="25646">
      <formula>IF($B30="Quoting",TRUE,FALSE)</formula>
    </cfRule>
    <cfRule type="expression" dxfId="12934" priority="25647">
      <formula>IF($B30="Quoting",TRUE,FALSE)</formula>
    </cfRule>
    <cfRule type="expression" dxfId="12933" priority="25648">
      <formula>IF($B30="Quoting",TRUE,FALSE)</formula>
    </cfRule>
    <cfRule type="expression" dxfId="12932" priority="25649">
      <formula>IF($B30="Quoting",TRUE,FALSE)</formula>
    </cfRule>
    <cfRule type="expression" dxfId="12931" priority="25650">
      <formula>IF($B30="Quoting",TRUE,FALSE)</formula>
    </cfRule>
    <cfRule type="expression" dxfId="12930" priority="25651">
      <formula>IF($B30="Quoting",TRUE,FALSE)</formula>
    </cfRule>
    <cfRule type="expression" dxfId="12929" priority="25652">
      <formula>IF($B30="Quoting",TRUE,FALSE)</formula>
    </cfRule>
    <cfRule type="expression" dxfId="12928" priority="25653">
      <formula>IF($B30="Quoting",TRUE,FALSE)</formula>
    </cfRule>
    <cfRule type="expression" dxfId="12927" priority="25654">
      <formula>IF($B30="Quoting",TRUE,FALSE)</formula>
    </cfRule>
    <cfRule type="expression" dxfId="12926" priority="25655">
      <formula>IF($B30="Quoting",TRUE,FALSE)</formula>
    </cfRule>
    <cfRule type="expression" dxfId="12925" priority="25656">
      <formula>IF($B30="Quoting",TRUE,FALSE)</formula>
    </cfRule>
    <cfRule type="expression" dxfId="12924" priority="25657">
      <formula>IF($B30="Quoting",TRUE,FALSE)</formula>
    </cfRule>
    <cfRule type="expression" dxfId="12923" priority="25658">
      <formula>IF($B30="Quoting",TRUE,FALSE)</formula>
    </cfRule>
    <cfRule type="expression" dxfId="12922" priority="25659">
      <formula>IF($B30="Quoting",TRUE,FALSE)</formula>
    </cfRule>
    <cfRule type="expression" dxfId="12921" priority="25660">
      <formula>IF($B30="Quoting",TRUE,FALSE)</formula>
    </cfRule>
    <cfRule type="expression" dxfId="12920" priority="25661">
      <formula>IF($B30="Quoting",TRUE,FALSE)</formula>
    </cfRule>
    <cfRule type="expression" dxfId="12919" priority="25662">
      <formula>IF($B30="Quoting",TRUE,FALSE)</formula>
    </cfRule>
    <cfRule type="expression" dxfId="12918" priority="25663">
      <formula>IF($B30="Quoting",TRUE,FALSE)</formula>
    </cfRule>
    <cfRule type="expression" dxfId="12917" priority="25664">
      <formula>IF($B30="Quoting",TRUE,FALSE)</formula>
    </cfRule>
    <cfRule type="expression" dxfId="12916" priority="25665">
      <formula>IF($B30="Quoting",TRUE,FALSE)</formula>
    </cfRule>
    <cfRule type="expression" dxfId="12915" priority="25666">
      <formula>IF($B30="Quoting",TRUE,FALSE)</formula>
    </cfRule>
    <cfRule type="expression" dxfId="12914" priority="25667">
      <formula>IF($B30="Quoting",TRUE,FALSE)</formula>
    </cfRule>
    <cfRule type="expression" dxfId="12913" priority="25668">
      <formula>IF($B30="Quoting",TRUE,FALSE)</formula>
    </cfRule>
    <cfRule type="expression" dxfId="12912" priority="25669">
      <formula>IF($B30="Quoting",TRUE,FALSE)</formula>
    </cfRule>
    <cfRule type="expression" dxfId="12911" priority="25670">
      <formula>IF($B30="Quoting",TRUE,FALSE)</formula>
    </cfRule>
    <cfRule type="expression" dxfId="12910" priority="25671">
      <formula>IF($B30="Quoting",TRUE,FALSE)</formula>
    </cfRule>
    <cfRule type="expression" dxfId="12909" priority="25672">
      <formula>IF($B30="Quoting",TRUE,FALSE)</formula>
    </cfRule>
    <cfRule type="expression" dxfId="12908" priority="25673">
      <formula>IF($B30="Quoting",TRUE,FALSE)</formula>
    </cfRule>
    <cfRule type="expression" dxfId="12907" priority="25674">
      <formula>IF($B30="Quoting",TRUE,FALSE)</formula>
    </cfRule>
    <cfRule type="expression" dxfId="12906" priority="25675">
      <formula>IF($B30="Quoting",TRUE,FALSE)</formula>
    </cfRule>
    <cfRule type="expression" dxfId="12905" priority="25676">
      <formula>IF($B30="Quoting",TRUE,FALSE)</formula>
    </cfRule>
    <cfRule type="expression" dxfId="12904" priority="25677">
      <formula>IF($B30="Quoting",TRUE,FALSE)</formula>
    </cfRule>
    <cfRule type="expression" dxfId="12903" priority="25678">
      <formula>IF($B30="Quoting",TRUE,FALSE)</formula>
    </cfRule>
    <cfRule type="expression" dxfId="12902" priority="25679">
      <formula>IF($B30="Quoting",TRUE,FALSE)</formula>
    </cfRule>
    <cfRule type="expression" dxfId="12901" priority="25680">
      <formula>IF($B30="Quoting",TRUE,FALSE)</formula>
    </cfRule>
    <cfRule type="expression" dxfId="12900" priority="25681">
      <formula>IF($B30="Quoting",TRUE,FALSE)</formula>
    </cfRule>
    <cfRule type="expression" dxfId="12899" priority="25682">
      <formula>IF($B30="Quoting",TRUE,FALSE)</formula>
    </cfRule>
    <cfRule type="expression" dxfId="12898" priority="25683">
      <formula>IF($B30="Quoting",TRUE,FALSE)</formula>
    </cfRule>
    <cfRule type="expression" dxfId="12897" priority="25684">
      <formula>IF($B30="Quoting",TRUE,FALSE)</formula>
    </cfRule>
    <cfRule type="expression" dxfId="12896" priority="25685">
      <formula>IF($B30="Quoting",TRUE,FALSE)</formula>
    </cfRule>
    <cfRule type="expression" dxfId="12895" priority="25686">
      <formula>IF($B30="Quoting",TRUE,FALSE)</formula>
    </cfRule>
    <cfRule type="expression" dxfId="12894" priority="25687">
      <formula>IF($B30="Quoting",TRUE,FALSE)</formula>
    </cfRule>
    <cfRule type="expression" dxfId="12893" priority="25688">
      <formula>IF($B30="Quoting",TRUE,FALSE)</formula>
    </cfRule>
    <cfRule type="expression" dxfId="12892" priority="25689">
      <formula>IF($B30="Quoting",TRUE,FALSE)</formula>
    </cfRule>
    <cfRule type="expression" dxfId="12891" priority="25690">
      <formula>IF($B30="Quoting",TRUE,FALSE)</formula>
    </cfRule>
    <cfRule type="expression" dxfId="12890" priority="25691">
      <formula>IF($B30="Quoting",TRUE,FALSE)</formula>
    </cfRule>
    <cfRule type="expression" dxfId="12889" priority="25692">
      <formula>IF($B30="Quoting",TRUE,FALSE)</formula>
    </cfRule>
    <cfRule type="expression" dxfId="12888" priority="25693">
      <formula>IF($B30="Quoting",TRUE,FALSE)</formula>
    </cfRule>
    <cfRule type="expression" dxfId="12887" priority="25694">
      <formula>IF($B30="Quoting",TRUE,FALSE)</formula>
    </cfRule>
    <cfRule type="expression" dxfId="12886" priority="25695">
      <formula>IF($B30="Quoting",TRUE,FALSE)</formula>
    </cfRule>
    <cfRule type="expression" dxfId="12885" priority="25696">
      <formula>IF($B30="Quoting",TRUE,FALSE)</formula>
    </cfRule>
    <cfRule type="expression" dxfId="12884" priority="25697">
      <formula>IF($B30="Quoting",TRUE,FALSE)</formula>
    </cfRule>
    <cfRule type="expression" dxfId="12883" priority="25698">
      <formula>IF($B30="Quoting",TRUE,FALSE)</formula>
    </cfRule>
    <cfRule type="expression" dxfId="12882" priority="25699">
      <formula>IF($B30="Quoting",TRUE,FALSE)</formula>
    </cfRule>
    <cfRule type="expression" dxfId="12881" priority="25700">
      <formula>IF($B30="Quoting",TRUE,FALSE)</formula>
    </cfRule>
    <cfRule type="expression" dxfId="12880" priority="25701">
      <formula>IF($B30="Quoting",TRUE,FALSE)</formula>
    </cfRule>
    <cfRule type="expression" dxfId="12879" priority="25702">
      <formula>IF($B30="Quoting",TRUE,FALSE)</formula>
    </cfRule>
    <cfRule type="expression" dxfId="12878" priority="25703">
      <formula>IF($B30="Quoting",TRUE,FALSE)</formula>
    </cfRule>
    <cfRule type="expression" dxfId="12877" priority="25704">
      <formula>IF($B30="Quoting",TRUE,FALSE)</formula>
    </cfRule>
    <cfRule type="expression" dxfId="12876" priority="25705">
      <formula>IF($B30="Quoting",TRUE,FALSE)</formula>
    </cfRule>
    <cfRule type="expression" dxfId="12875" priority="25706">
      <formula>IF($B30="Quoting",TRUE,FALSE)</formula>
    </cfRule>
    <cfRule type="expression" dxfId="12874" priority="25707">
      <formula>IF($B30="Quoting",TRUE,FALSE)</formula>
    </cfRule>
    <cfRule type="expression" dxfId="12873" priority="25708">
      <formula>IF($B30="Quoting",TRUE,FALSE)</formula>
    </cfRule>
    <cfRule type="expression" dxfId="12872" priority="25709">
      <formula>IF($B30="Quoting",TRUE,FALSE)</formula>
    </cfRule>
    <cfRule type="expression" dxfId="12871" priority="25710">
      <formula>IF($B30="Quoting",TRUE,FALSE)</formula>
    </cfRule>
    <cfRule type="expression" dxfId="12870" priority="25711">
      <formula>IF($B30="Quoting",TRUE,FALSE)</formula>
    </cfRule>
    <cfRule type="expression" dxfId="12869" priority="25712">
      <formula>IF($B30="Quoting",TRUE,FALSE)</formula>
    </cfRule>
    <cfRule type="expression" dxfId="12868" priority="25713">
      <formula>IF($B30="Quoting",TRUE,FALSE)</formula>
    </cfRule>
    <cfRule type="expression" dxfId="12867" priority="25714">
      <formula>IF($B30="Quoting",TRUE,FALSE)</formula>
    </cfRule>
    <cfRule type="expression" dxfId="12866" priority="25715">
      <formula>IF($B30="Quoting",TRUE,FALSE)</formula>
    </cfRule>
    <cfRule type="expression" dxfId="12865" priority="25716">
      <formula>IF($B30="Quoting",TRUE,FALSE)</formula>
    </cfRule>
    <cfRule type="expression" dxfId="12864" priority="25717">
      <formula>IF($B30="Quoting",TRUE,FALSE)</formula>
    </cfRule>
    <cfRule type="expression" dxfId="12863" priority="25718">
      <formula>IF($B30="Quoting",TRUE,FALSE)</formula>
    </cfRule>
    <cfRule type="expression" dxfId="12862" priority="25719">
      <formula>IF($B30="Quoting",TRUE,FALSE)</formula>
    </cfRule>
    <cfRule type="expression" dxfId="12861" priority="25720">
      <formula>IF($B30="Quoting",TRUE,FALSE)</formula>
    </cfRule>
    <cfRule type="expression" dxfId="12860" priority="25721">
      <formula>IF($B30="Quoting",TRUE,FALSE)</formula>
    </cfRule>
    <cfRule type="expression" dxfId="12859" priority="25722">
      <formula>IF($B30="Quoting",TRUE,FALSE)</formula>
    </cfRule>
    <cfRule type="expression" dxfId="12858" priority="25723">
      <formula>IF($B30="Quoting",TRUE,FALSE)</formula>
    </cfRule>
    <cfRule type="expression" dxfId="12857" priority="25724">
      <formula>IF($B30="Quoting",TRUE,FALSE)</formula>
    </cfRule>
    <cfRule type="expression" dxfId="12856" priority="25725">
      <formula>IF($B30="Quoting",TRUE,FALSE)</formula>
    </cfRule>
    <cfRule type="expression" dxfId="12855" priority="25726">
      <formula>IF($B30="Quoting",TRUE,FALSE)</formula>
    </cfRule>
    <cfRule type="expression" dxfId="12854" priority="25727">
      <formula>IF($B30="Quoting",TRUE,FALSE)</formula>
    </cfRule>
    <cfRule type="expression" dxfId="12853" priority="25728">
      <formula>IF($B30="Quoting",TRUE,FALSE)</formula>
    </cfRule>
    <cfRule type="expression" dxfId="12852" priority="25729">
      <formula>IF($B30="Quoting",TRUE,FALSE)</formula>
    </cfRule>
    <cfRule type="expression" dxfId="12851" priority="25730">
      <formula>IF($B30="Quoting",TRUE,FALSE)</formula>
    </cfRule>
    <cfRule type="expression" dxfId="12850" priority="25731">
      <formula>IF($B30="Quoting",TRUE,FALSE)</formula>
    </cfRule>
    <cfRule type="expression" dxfId="12849" priority="25732">
      <formula>IF($B30="Quoting",TRUE,FALSE)</formula>
    </cfRule>
    <cfRule type="expression" dxfId="12848" priority="25733">
      <formula>IF($B30="Quoting",TRUE,FALSE)</formula>
    </cfRule>
    <cfRule type="expression" dxfId="12847" priority="25734">
      <formula>IF($B30="Quoting",TRUE,FALSE)</formula>
    </cfRule>
    <cfRule type="expression" dxfId="12846" priority="25735">
      <formula>IF($B30="Quoting",TRUE,FALSE)</formula>
    </cfRule>
    <cfRule type="expression" dxfId="12845" priority="25736">
      <formula>IF($B30="Quoting",TRUE,FALSE)</formula>
    </cfRule>
    <cfRule type="expression" dxfId="12844" priority="25737">
      <formula>IF($B30="Quoting",TRUE,FALSE)</formula>
    </cfRule>
    <cfRule type="expression" dxfId="12843" priority="25738">
      <formula>IF($B30="Quoting",TRUE,FALSE)</formula>
    </cfRule>
    <cfRule type="expression" dxfId="12842" priority="25739">
      <formula>IF($B30="Quoting",TRUE,FALSE)</formula>
    </cfRule>
    <cfRule type="expression" dxfId="12841" priority="25740">
      <formula>IF($B30="Quoting",TRUE,FALSE)</formula>
    </cfRule>
    <cfRule type="expression" dxfId="12840" priority="25741">
      <formula>IF($B30="Quoting",TRUE,FALSE)</formula>
    </cfRule>
    <cfRule type="expression" dxfId="12839" priority="25742">
      <formula>IF($B30="Quoting",TRUE,FALSE)</formula>
    </cfRule>
    <cfRule type="expression" dxfId="12838" priority="25743">
      <formula>IF($B30="Quoting",TRUE,FALSE)</formula>
    </cfRule>
    <cfRule type="expression" dxfId="12837" priority="25744">
      <formula>IF($B30="Quoting",TRUE,FALSE)</formula>
    </cfRule>
    <cfRule type="expression" dxfId="12836" priority="25745">
      <formula>IF($B30="Quoting",TRUE,FALSE)</formula>
    </cfRule>
    <cfRule type="expression" dxfId="12835" priority="25746">
      <formula>IF($B30="Quoting",TRUE,FALSE)</formula>
    </cfRule>
    <cfRule type="expression" dxfId="12834" priority="25747">
      <formula>IF($B30="Quoting",TRUE,FALSE)</formula>
    </cfRule>
    <cfRule type="expression" dxfId="12833" priority="25748">
      <formula>IF($B30="Quoting",TRUE,FALSE)</formula>
    </cfRule>
    <cfRule type="expression" dxfId="12832" priority="25749">
      <formula>IF($B30="Quoting",TRUE,FALSE)</formula>
    </cfRule>
    <cfRule type="expression" dxfId="12831" priority="25750">
      <formula>IF($B30="Quoting",TRUE,FALSE)</formula>
    </cfRule>
    <cfRule type="expression" dxfId="12830" priority="25751">
      <formula>IF($B30="Quoting",TRUE,FALSE)</formula>
    </cfRule>
    <cfRule type="expression" dxfId="12829" priority="25752">
      <formula>IF($B30="Quoting",TRUE,FALSE)</formula>
    </cfRule>
    <cfRule type="expression" dxfId="12828" priority="25753">
      <formula>IF($B30="Quoting",TRUE,FALSE)</formula>
    </cfRule>
    <cfRule type="expression" dxfId="12827" priority="25754">
      <formula>IF($B30="Quoting",TRUE,FALSE)</formula>
    </cfRule>
    <cfRule type="expression" dxfId="12826" priority="25755">
      <formula>IF($B30="Quoting",TRUE,FALSE)</formula>
    </cfRule>
    <cfRule type="expression" dxfId="12825" priority="25756">
      <formula>IF($B30="Quoting",TRUE,FALSE)</formula>
    </cfRule>
    <cfRule type="expression" dxfId="12824" priority="25757">
      <formula>IF($B30="Quoting",TRUE,FALSE)</formula>
    </cfRule>
    <cfRule type="expression" dxfId="12823" priority="25758">
      <formula>IF($B30="Quoting",TRUE,FALSE)</formula>
    </cfRule>
    <cfRule type="expression" dxfId="12822" priority="25759">
      <formula>IF($B30="Quoting",TRUE,FALSE)</formula>
    </cfRule>
    <cfRule type="expression" dxfId="12821" priority="25760">
      <formula>IF($B30="Quoting",TRUE,FALSE)</formula>
    </cfRule>
    <cfRule type="expression" dxfId="12820" priority="25761">
      <formula>IF($B30="Quoting",TRUE,FALSE)</formula>
    </cfRule>
    <cfRule type="expression" dxfId="12819" priority="25762">
      <formula>IF($B30="Quoting",TRUE,FALSE)</formula>
    </cfRule>
    <cfRule type="expression" dxfId="12818" priority="25763">
      <formula>IF($B30="Quoting",TRUE,FALSE)</formula>
    </cfRule>
    <cfRule type="expression" dxfId="12817" priority="25764">
      <formula>IF($B30="Quoting",TRUE,FALSE)</formula>
    </cfRule>
    <cfRule type="expression" dxfId="12816" priority="25765">
      <formula>IF($B30="Quoting",TRUE,FALSE)</formula>
    </cfRule>
    <cfRule type="expression" dxfId="12815" priority="25766">
      <formula>IF($B30="Quoting",TRUE,FALSE)</formula>
    </cfRule>
    <cfRule type="expression" dxfId="12814" priority="25767">
      <formula>IF($B30="Quoting",TRUE,FALSE)</formula>
    </cfRule>
    <cfRule type="expression" dxfId="12813" priority="25768">
      <formula>IF($B30="Quoting",TRUE,FALSE)</formula>
    </cfRule>
    <cfRule type="expression" dxfId="12812" priority="25769">
      <formula>IF($B30="Quoting",TRUE,FALSE)</formula>
    </cfRule>
    <cfRule type="expression" dxfId="12811" priority="25770">
      <formula>IF($B30="Quoting",TRUE,FALSE)</formula>
    </cfRule>
    <cfRule type="expression" dxfId="12810" priority="25771">
      <formula>IF($B30="Quoting",TRUE,FALSE)</formula>
    </cfRule>
    <cfRule type="expression" dxfId="12809" priority="25772">
      <formula>IF($B30="Quoting",TRUE,FALSE)</formula>
    </cfRule>
    <cfRule type="expression" dxfId="12808" priority="25773">
      <formula>IF($B30="Quoting",TRUE,FALSE)</formula>
    </cfRule>
    <cfRule type="expression" dxfId="12807" priority="25774">
      <formula>IF($B30="Quoting",TRUE,FALSE)</formula>
    </cfRule>
    <cfRule type="expression" dxfId="12806" priority="25775">
      <formula>IF($B30="Quoting",TRUE,FALSE)</formula>
    </cfRule>
    <cfRule type="expression" dxfId="12805" priority="25776">
      <formula>IF($B30="Quoting",TRUE,FALSE)</formula>
    </cfRule>
    <cfRule type="expression" dxfId="12804" priority="25777">
      <formula>IF($B30="Quoting",TRUE,FALSE)</formula>
    </cfRule>
    <cfRule type="expression" dxfId="12803" priority="25778">
      <formula>IF($B30="Quoting",TRUE,FALSE)</formula>
    </cfRule>
    <cfRule type="expression" dxfId="12802" priority="25779">
      <formula>IF($B30="Quoting",TRUE,FALSE)</formula>
    </cfRule>
    <cfRule type="expression" dxfId="12801" priority="25780">
      <formula>IF($B30="Quoting",TRUE,FALSE)</formula>
    </cfRule>
    <cfRule type="expression" dxfId="12800" priority="25781">
      <formula>IF($B30="Quoting",TRUE,FALSE)</formula>
    </cfRule>
    <cfRule type="expression" dxfId="12799" priority="25782">
      <formula>IF($B30="Quoting",TRUE,FALSE)</formula>
    </cfRule>
    <cfRule type="expression" dxfId="12798" priority="25783">
      <formula>IF($B30="Quoting",TRUE,FALSE)</formula>
    </cfRule>
    <cfRule type="expression" dxfId="12797" priority="25784">
      <formula>IF($B30="Quoting",TRUE,FALSE)</formula>
    </cfRule>
    <cfRule type="expression" dxfId="12796" priority="25785">
      <formula>IF($B30="Quoting",TRUE,FALSE)</formula>
    </cfRule>
    <cfRule type="expression" dxfId="12795" priority="25786">
      <formula>IF($B30="Quoting",TRUE,FALSE)</formula>
    </cfRule>
    <cfRule type="expression" dxfId="12794" priority="25787">
      <formula>IF($B30="Quoting",TRUE,FALSE)</formula>
    </cfRule>
    <cfRule type="expression" dxfId="12793" priority="25788">
      <formula>IF($B30="Quoting",TRUE,FALSE)</formula>
    </cfRule>
    <cfRule type="expression" dxfId="12792" priority="25789">
      <formula>IF($B30="Quoting",TRUE,FALSE)</formula>
    </cfRule>
    <cfRule type="expression" dxfId="12791" priority="25790">
      <formula>IF($B30="Quoting",TRUE,FALSE)</formula>
    </cfRule>
    <cfRule type="expression" dxfId="12790" priority="25791">
      <formula>IF($B30="Quoting",TRUE,FALSE)</formula>
    </cfRule>
    <cfRule type="expression" dxfId="12789" priority="25792">
      <formula>IF($B30="Quoting",TRUE,FALSE)</formula>
    </cfRule>
    <cfRule type="expression" dxfId="12788" priority="25793">
      <formula>IF($B30="Quoting",TRUE,FALSE)</formula>
    </cfRule>
    <cfRule type="expression" dxfId="12787" priority="25794">
      <formula>IF($B30="Quoting",TRUE,FALSE)</formula>
    </cfRule>
    <cfRule type="expression" dxfId="12786" priority="25795">
      <formula>IF($B30="Quoting",TRUE,FALSE)</formula>
    </cfRule>
    <cfRule type="expression" dxfId="12785" priority="25796">
      <formula>IF($B30="Quoting",TRUE,FALSE)</formula>
    </cfRule>
    <cfRule type="expression" dxfId="12784" priority="25797">
      <formula>IF($B30="Quoting",TRUE,FALSE)</formula>
    </cfRule>
    <cfRule type="expression" dxfId="12783" priority="25798">
      <formula>IF($B30="Quoting",TRUE,FALSE)</formula>
    </cfRule>
    <cfRule type="expression" dxfId="12782" priority="25799">
      <formula>IF($B30="Quoting",TRUE,FALSE)</formula>
    </cfRule>
    <cfRule type="expression" dxfId="12781" priority="25800">
      <formula>IF($B30="Quoting",TRUE,FALSE)</formula>
    </cfRule>
    <cfRule type="expression" dxfId="12780" priority="25801">
      <formula>IF($B30="Quoting",TRUE,FALSE)</formula>
    </cfRule>
    <cfRule type="expression" dxfId="12779" priority="25802">
      <formula>IF($B30="Quoting",TRUE,FALSE)</formula>
    </cfRule>
    <cfRule type="expression" dxfId="12778" priority="25803">
      <formula>IF($B30="Quoting",TRUE,FALSE)</formula>
    </cfRule>
    <cfRule type="expression" dxfId="12777" priority="25804">
      <formula>IF($B30="Quoting",TRUE,FALSE)</formula>
    </cfRule>
    <cfRule type="expression" dxfId="12776" priority="25805">
      <formula>IF($B30="Quoting",TRUE,FALSE)</formula>
    </cfRule>
    <cfRule type="expression" dxfId="12775" priority="25806">
      <formula>IF($B30="Quoting",TRUE,FALSE)</formula>
    </cfRule>
    <cfRule type="expression" dxfId="12774" priority="25807">
      <formula>IF($B30="Quoting",TRUE,FALSE)</formula>
    </cfRule>
    <cfRule type="expression" dxfId="12773" priority="25808">
      <formula>IF($B30="Quoting",TRUE,FALSE)</formula>
    </cfRule>
    <cfRule type="expression" dxfId="12772" priority="25809">
      <formula>IF($B30="Quoting",TRUE,FALSE)</formula>
    </cfRule>
    <cfRule type="expression" dxfId="12771" priority="25810">
      <formula>IF($B30="Quoting",TRUE,FALSE)</formula>
    </cfRule>
    <cfRule type="expression" dxfId="12770" priority="25811">
      <formula>IF($B30="Quoting",TRUE,FALSE)</formula>
    </cfRule>
    <cfRule type="expression" dxfId="12769" priority="25812">
      <formula>IF($B30="Quoting",TRUE,FALSE)</formula>
    </cfRule>
    <cfRule type="expression" dxfId="12768" priority="25813">
      <formula>IF($B30="Quoting",TRUE,FALSE)</formula>
    </cfRule>
    <cfRule type="expression" dxfId="12767" priority="25814">
      <formula>IF($B30="Quoting",TRUE,FALSE)</formula>
    </cfRule>
    <cfRule type="expression" dxfId="12766" priority="25815">
      <formula>IF($B30="Quoting",TRUE,FALSE)</formula>
    </cfRule>
    <cfRule type="expression" dxfId="12765" priority="25816">
      <formula>IF($B30="Quoting",TRUE,FALSE)</formula>
    </cfRule>
    <cfRule type="expression" dxfId="12764" priority="25817">
      <formula>IF($B30="Quoting",TRUE,FALSE)</formula>
    </cfRule>
    <cfRule type="expression" dxfId="12763" priority="25818">
      <formula>IF($B30="Quoting",TRUE,FALSE)</formula>
    </cfRule>
    <cfRule type="expression" dxfId="12762" priority="25819">
      <formula>IF($B30="Quoting",TRUE,FALSE)</formula>
    </cfRule>
    <cfRule type="expression" dxfId="12761" priority="25820">
      <formula>IF($B30="Quoting",TRUE,FALSE)</formula>
    </cfRule>
    <cfRule type="expression" dxfId="12760" priority="25821">
      <formula>IF($B30="Quoting",TRUE,FALSE)</formula>
    </cfRule>
    <cfRule type="expression" dxfId="12759" priority="25822">
      <formula>IF($B30="Quoting",TRUE,FALSE)</formula>
    </cfRule>
    <cfRule type="expression" dxfId="12758" priority="25823">
      <formula>IF($B30="Quoting",TRUE,FALSE)</formula>
    </cfRule>
    <cfRule type="expression" dxfId="12757" priority="25824">
      <formula>IF($B30="Quoting",TRUE,FALSE)</formula>
    </cfRule>
    <cfRule type="expression" dxfId="12756" priority="25825">
      <formula>IF($B30="Quoting",TRUE,FALSE)</formula>
    </cfRule>
    <cfRule type="expression" dxfId="12755" priority="25826">
      <formula>IF($B30="Quoting",TRUE,FALSE)</formula>
    </cfRule>
    <cfRule type="expression" dxfId="12754" priority="25827">
      <formula>IF($B30="Quoting",TRUE,FALSE)</formula>
    </cfRule>
    <cfRule type="expression" dxfId="12753" priority="25828">
      <formula>IF($B30="Quoting",TRUE,FALSE)</formula>
    </cfRule>
    <cfRule type="expression" dxfId="12752" priority="25829">
      <formula>IF($B30="Quoting",TRUE,FALSE)</formula>
    </cfRule>
    <cfRule type="expression" dxfId="12751" priority="25830">
      <formula>IF($B30="Quoting",TRUE,FALSE)</formula>
    </cfRule>
    <cfRule type="expression" dxfId="12750" priority="25831">
      <formula>IF($B30="Quoting",TRUE,FALSE)</formula>
    </cfRule>
    <cfRule type="expression" dxfId="12749" priority="25832">
      <formula>IF($B30="Quoting",TRUE,FALSE)</formula>
    </cfRule>
    <cfRule type="expression" dxfId="12748" priority="25833">
      <formula>IF($B30="Quoting",TRUE,FALSE)</formula>
    </cfRule>
    <cfRule type="expression" dxfId="12747" priority="25834">
      <formula>IF($B30="Quoting",TRUE,FALSE)</formula>
    </cfRule>
    <cfRule type="expression" dxfId="12746" priority="25835">
      <formula>IF($B30="Quoting",TRUE,FALSE)</formula>
    </cfRule>
    <cfRule type="expression" dxfId="12745" priority="25836">
      <formula>IF($B30="Quoting",TRUE,FALSE)</formula>
    </cfRule>
    <cfRule type="expression" dxfId="12744" priority="25837">
      <formula>IF($B30="Quoting",TRUE,FALSE)</formula>
    </cfRule>
    <cfRule type="expression" dxfId="12743" priority="25838">
      <formula>IF($B30="Quoting",TRUE,FALSE)</formula>
    </cfRule>
    <cfRule type="expression" dxfId="12742" priority="25839">
      <formula>IF($B30="Quoting",TRUE,FALSE)</formula>
    </cfRule>
    <cfRule type="expression" dxfId="12741" priority="25840">
      <formula>IF($B30="Quoting",TRUE,FALSE)</formula>
    </cfRule>
    <cfRule type="expression" dxfId="12740" priority="25841">
      <formula>IF($B30="Quoting",TRUE,FALSE)</formula>
    </cfRule>
    <cfRule type="expression" dxfId="12739" priority="25842">
      <formula>IF($B30="Quoting",TRUE,FALSE)</formula>
    </cfRule>
    <cfRule type="expression" dxfId="12738" priority="25843">
      <formula>IF($B30="Quoting",TRUE,FALSE)</formula>
    </cfRule>
    <cfRule type="expression" dxfId="12737" priority="25844">
      <formula>IF($B30="Quoting",TRUE,FALSE)</formula>
    </cfRule>
    <cfRule type="expression" dxfId="12736" priority="25845">
      <formula>IF($B30="Quoting",TRUE,FALSE)</formula>
    </cfRule>
    <cfRule type="expression" dxfId="12735" priority="25846">
      <formula>IF($B30="Quoting",TRUE,FALSE)</formula>
    </cfRule>
    <cfRule type="expression" dxfId="12734" priority="25847">
      <formula>IF($B30="Quoting",TRUE,FALSE)</formula>
    </cfRule>
    <cfRule type="expression" dxfId="12733" priority="25848">
      <formula>IF($B30="Quoting",TRUE,FALSE)</formula>
    </cfRule>
    <cfRule type="expression" dxfId="12732" priority="25849">
      <formula>IF($B30="Quoting",TRUE,FALSE)</formula>
    </cfRule>
    <cfRule type="expression" dxfId="12731" priority="25850">
      <formula>IF($B30="Quoting",TRUE,FALSE)</formula>
    </cfRule>
    <cfRule type="expression" dxfId="12730" priority="25851">
      <formula>IF($B30="Quoting",TRUE,FALSE)</formula>
    </cfRule>
    <cfRule type="expression" dxfId="12729" priority="25852">
      <formula>IF($B30="Quoting",TRUE,FALSE)</formula>
    </cfRule>
    <cfRule type="expression" dxfId="12728" priority="25853">
      <formula>IF($B30="Quoting",TRUE,FALSE)</formula>
    </cfRule>
    <cfRule type="expression" dxfId="12727" priority="25854">
      <formula>IF($B30="Quoting",TRUE,FALSE)</formula>
    </cfRule>
    <cfRule type="expression" dxfId="12726" priority="25855">
      <formula>IF($B30="Quoting",TRUE,FALSE)</formula>
    </cfRule>
    <cfRule type="expression" dxfId="12725" priority="25856">
      <formula>IF($B30="Quoting",TRUE,FALSE)</formula>
    </cfRule>
    <cfRule type="expression" dxfId="12724" priority="25857">
      <formula>IF($B30="Quoting",TRUE,FALSE)</formula>
    </cfRule>
    <cfRule type="expression" dxfId="12723" priority="25858">
      <formula>IF($B30="Quoting",TRUE,FALSE)</formula>
    </cfRule>
    <cfRule type="expression" dxfId="12722" priority="25859">
      <formula>IF($B30="Quoting",TRUE,FALSE)</formula>
    </cfRule>
    <cfRule type="expression" dxfId="12721" priority="25860">
      <formula>IF($B30="Quoting",TRUE,FALSE)</formula>
    </cfRule>
    <cfRule type="expression" dxfId="12720" priority="25861">
      <formula>IF($B30="Quoting",TRUE,FALSE)</formula>
    </cfRule>
    <cfRule type="expression" dxfId="12719" priority="25862">
      <formula>IF($B30="Quoting",TRUE,FALSE)</formula>
    </cfRule>
    <cfRule type="expression" dxfId="12718" priority="25863">
      <formula>IF($B30="Quoting",TRUE,FALSE)</formula>
    </cfRule>
    <cfRule type="expression" dxfId="12717" priority="25864">
      <formula>IF($B30="Quoting",TRUE,FALSE)</formula>
    </cfRule>
    <cfRule type="expression" dxfId="12716" priority="25865">
      <formula>IF($B30="Quoting",TRUE,FALSE)</formula>
    </cfRule>
    <cfRule type="expression" dxfId="12715" priority="25866">
      <formula>IF($B30="Quoting",TRUE,FALSE)</formula>
    </cfRule>
    <cfRule type="expression" dxfId="12714" priority="25867">
      <formula>IF($B30="Quoting",TRUE,FALSE)</formula>
    </cfRule>
    <cfRule type="expression" dxfId="12713" priority="25868">
      <formula>IF($B30="Quoting",TRUE,FALSE)</formula>
    </cfRule>
    <cfRule type="expression" dxfId="12712" priority="25869">
      <formula>IF($B30="Quoting",TRUE,FALSE)</formula>
    </cfRule>
    <cfRule type="expression" dxfId="12711" priority="25870">
      <formula>IF($B30="Quoting",TRUE,FALSE)</formula>
    </cfRule>
    <cfRule type="expression" dxfId="12710" priority="25871">
      <formula>IF($B30="Quoting",TRUE,FALSE)</formula>
    </cfRule>
    <cfRule type="expression" dxfId="12709" priority="25872">
      <formula>IF($B30="Quoting",TRUE,FALSE)</formula>
    </cfRule>
    <cfRule type="expression" dxfId="12708" priority="25873">
      <formula>IF($B30="Quoting",TRUE,FALSE)</formula>
    </cfRule>
    <cfRule type="expression" dxfId="12707" priority="25874">
      <formula>IF($B30="Quoting",TRUE,FALSE)</formula>
    </cfRule>
    <cfRule type="expression" dxfId="12706" priority="25875">
      <formula>IF($B30="Quoting",TRUE,FALSE)</formula>
    </cfRule>
    <cfRule type="expression" dxfId="12705" priority="25876">
      <formula>IF($B30="Quoting",TRUE,FALSE)</formula>
    </cfRule>
    <cfRule type="expression" dxfId="12704" priority="25877">
      <formula>IF($B30="Quoting",TRUE,FALSE)</formula>
    </cfRule>
    <cfRule type="expression" dxfId="12703" priority="25878">
      <formula>IF($B30="Quoting",TRUE,FALSE)</formula>
    </cfRule>
    <cfRule type="expression" dxfId="12702" priority="25879">
      <formula>IF($B30="Quoting",TRUE,FALSE)</formula>
    </cfRule>
    <cfRule type="expression" dxfId="12701" priority="25880">
      <formula>IF($B30="Quoting",TRUE,FALSE)</formula>
    </cfRule>
    <cfRule type="expression" dxfId="12700" priority="25881">
      <formula>IF($B30="Quoting",TRUE,FALSE)</formula>
    </cfRule>
    <cfRule type="expression" dxfId="12699" priority="25882">
      <formula>IF($B30="Quoting",TRUE,FALSE)</formula>
    </cfRule>
    <cfRule type="expression" dxfId="12698" priority="25883">
      <formula>IF($B30="Quoting",TRUE,FALSE)</formula>
    </cfRule>
    <cfRule type="expression" dxfId="12697" priority="25884">
      <formula>IF($B30="Quoting",TRUE,FALSE)</formula>
    </cfRule>
    <cfRule type="expression" dxfId="12696" priority="25885">
      <formula>IF($B30="Quoting",TRUE,FALSE)</formula>
    </cfRule>
    <cfRule type="expression" dxfId="12695" priority="25886">
      <formula>IF($B30="Quoting",TRUE,FALSE)</formula>
    </cfRule>
    <cfRule type="expression" dxfId="12694" priority="25887">
      <formula>IF($B30="Quoting",TRUE,FALSE)</formula>
    </cfRule>
    <cfRule type="expression" dxfId="12693" priority="25888">
      <formula>IF($B30="Quoting",TRUE,FALSE)</formula>
    </cfRule>
    <cfRule type="expression" dxfId="12692" priority="25889">
      <formula>IF($B30="Quoting",TRUE,FALSE)</formula>
    </cfRule>
    <cfRule type="expression" dxfId="12691" priority="25890">
      <formula>IF($B30="Quoting",TRUE,FALSE)</formula>
    </cfRule>
    <cfRule type="expression" dxfId="12690" priority="25891">
      <formula>IF($B30="Quoting",TRUE,FALSE)</formula>
    </cfRule>
    <cfRule type="expression" dxfId="12689" priority="25892">
      <formula>IF($B30="Quoting",TRUE,FALSE)</formula>
    </cfRule>
    <cfRule type="expression" dxfId="12688" priority="25893">
      <formula>IF($B30="Quoting",TRUE,FALSE)</formula>
    </cfRule>
    <cfRule type="expression" dxfId="12687" priority="25894">
      <formula>IF($B30="Quoting",TRUE,FALSE)</formula>
    </cfRule>
    <cfRule type="expression" dxfId="12686" priority="25895">
      <formula>IF($B30="Quoting",TRUE,FALSE)</formula>
    </cfRule>
    <cfRule type="expression" dxfId="12685" priority="25896">
      <formula>IF($B30="Quoting",TRUE,FALSE)</formula>
    </cfRule>
    <cfRule type="expression" dxfId="12684" priority="25897">
      <formula>IF($B30="Quoting",TRUE,FALSE)</formula>
    </cfRule>
    <cfRule type="expression" dxfId="12683" priority="25898">
      <formula>IF($B30="Quoting",TRUE,FALSE)</formula>
    </cfRule>
    <cfRule type="expression" dxfId="12682" priority="25899">
      <formula>IF($B30="Quoting",TRUE,FALSE)</formula>
    </cfRule>
    <cfRule type="expression" dxfId="12681" priority="25900">
      <formula>IF($B30="Quoting",TRUE,FALSE)</formula>
    </cfRule>
    <cfRule type="expression" dxfId="12680" priority="25901">
      <formula>IF($B30="Quoting",TRUE,FALSE)</formula>
    </cfRule>
    <cfRule type="expression" dxfId="12679" priority="25902">
      <formula>IF($B30="Quoting",TRUE,FALSE)</formula>
    </cfRule>
    <cfRule type="expression" dxfId="12678" priority="25903">
      <formula>IF($B30="Quoting",TRUE,FALSE)</formula>
    </cfRule>
    <cfRule type="expression" dxfId="12677" priority="25904">
      <formula>IF($B30="Quoting",TRUE,FALSE)</formula>
    </cfRule>
    <cfRule type="expression" dxfId="12676" priority="25905">
      <formula>IF($B30="Quoting",TRUE,FALSE)</formula>
    </cfRule>
    <cfRule type="expression" dxfId="12675" priority="25906">
      <formula>IF($B30="Quoting",TRUE,FALSE)</formula>
    </cfRule>
    <cfRule type="expression" dxfId="12674" priority="25907">
      <formula>IF($B30="Quoting",TRUE,FALSE)</formula>
    </cfRule>
    <cfRule type="expression" dxfId="12673" priority="25908">
      <formula>IF($B30="Quoting",TRUE,FALSE)</formula>
    </cfRule>
    <cfRule type="expression" dxfId="12672" priority="25909">
      <formula>IF($B30="Quoting",TRUE,FALSE)</formula>
    </cfRule>
    <cfRule type="expression" dxfId="12671" priority="25910">
      <formula>IF($B30="Quoting",TRUE,FALSE)</formula>
    </cfRule>
    <cfRule type="expression" dxfId="12670" priority="25911">
      <formula>IF($B30="Quoting",TRUE,FALSE)</formula>
    </cfRule>
    <cfRule type="expression" dxfId="12669" priority="25912">
      <formula>IF($B30="Quoting",TRUE,FALSE)</formula>
    </cfRule>
    <cfRule type="expression" dxfId="12668" priority="25913">
      <formula>IF($B30="Quoting",TRUE,FALSE)</formula>
    </cfRule>
    <cfRule type="expression" dxfId="12667" priority="25914">
      <formula>IF($B30="Quoting",TRUE,FALSE)</formula>
    </cfRule>
    <cfRule type="expression" dxfId="12666" priority="25915">
      <formula>IF($B30="Quoting",TRUE,FALSE)</formula>
    </cfRule>
    <cfRule type="expression" dxfId="12665" priority="25916">
      <formula>IF($B30="Quoting",TRUE,FALSE)</formula>
    </cfRule>
    <cfRule type="expression" dxfId="12664" priority="25917">
      <formula>IF($B30="Quoting",TRUE,FALSE)</formula>
    </cfRule>
    <cfRule type="expression" dxfId="12663" priority="25918">
      <formula>IF($B30="Quoting",TRUE,FALSE)</formula>
    </cfRule>
    <cfRule type="expression" dxfId="12662" priority="25919">
      <formula>IF($B30="Quoting",TRUE,FALSE)</formula>
    </cfRule>
    <cfRule type="expression" dxfId="12661" priority="25920">
      <formula>IF($B30="Quoting",TRUE,FALSE)</formula>
    </cfRule>
    <cfRule type="expression" dxfId="12660" priority="25921">
      <formula>IF($B30="Quoting",TRUE,FALSE)</formula>
    </cfRule>
    <cfRule type="expression" dxfId="12659" priority="25922">
      <formula>IF($B30="Quoting",TRUE,FALSE)</formula>
    </cfRule>
    <cfRule type="expression" dxfId="12658" priority="25923">
      <formula>IF($B30="Quoting",TRUE,FALSE)</formula>
    </cfRule>
    <cfRule type="expression" dxfId="12657" priority="25924">
      <formula>IF($B30="Quoting",TRUE,FALSE)</formula>
    </cfRule>
    <cfRule type="expression" dxfId="12656" priority="25925">
      <formula>IF($B30="Quoting",TRUE,FALSE)</formula>
    </cfRule>
    <cfRule type="expression" dxfId="12655" priority="25926">
      <formula>IF($B30="Quoting",TRUE,FALSE)</formula>
    </cfRule>
    <cfRule type="expression" dxfId="12654" priority="25927">
      <formula>IF($B30="Quoting",TRUE,FALSE)</formula>
    </cfRule>
    <cfRule type="expression" dxfId="12653" priority="25928">
      <formula>IF($B30="Quoting",TRUE,FALSE)</formula>
    </cfRule>
    <cfRule type="expression" dxfId="12652" priority="25929">
      <formula>IF($B30="Quoting",TRUE,FALSE)</formula>
    </cfRule>
    <cfRule type="expression" dxfId="12651" priority="25930">
      <formula>IF($B30="Quoting",TRUE,FALSE)</formula>
    </cfRule>
    <cfRule type="expression" dxfId="12650" priority="25931">
      <formula>IF($B30="Quoting",TRUE,FALSE)</formula>
    </cfRule>
    <cfRule type="expression" dxfId="12649" priority="25932">
      <formula>IF($B30="Quoting",TRUE,FALSE)</formula>
    </cfRule>
    <cfRule type="expression" dxfId="12648" priority="25933">
      <formula>IF($B30="Quoting",TRUE,FALSE)</formula>
    </cfRule>
    <cfRule type="expression" dxfId="12647" priority="25934">
      <formula>IF($B30="Quoting",TRUE,FALSE)</formula>
    </cfRule>
    <cfRule type="expression" dxfId="12646" priority="25935">
      <formula>IF($B30="Quoting",TRUE,FALSE)</formula>
    </cfRule>
    <cfRule type="expression" dxfId="12645" priority="25936">
      <formula>IF($B30="Quoting",TRUE,FALSE)</formula>
    </cfRule>
    <cfRule type="expression" dxfId="12644" priority="25937">
      <formula>IF($B30="Quoting",TRUE,FALSE)</formula>
    </cfRule>
    <cfRule type="expression" dxfId="12643" priority="25938">
      <formula>IF($B30="Quoting",TRUE,FALSE)</formula>
    </cfRule>
    <cfRule type="expression" dxfId="12642" priority="25939">
      <formula>IF($B30="Quoting",TRUE,FALSE)</formula>
    </cfRule>
    <cfRule type="expression" dxfId="12641" priority="25940">
      <formula>IF($B30="Quoting",TRUE,FALSE)</formula>
    </cfRule>
    <cfRule type="expression" dxfId="12640" priority="25941">
      <formula>IF($B30="Quoting",TRUE,FALSE)</formula>
    </cfRule>
    <cfRule type="expression" dxfId="12639" priority="25942">
      <formula>IF($B30="Quoting",TRUE,FALSE)</formula>
    </cfRule>
    <cfRule type="expression" dxfId="12638" priority="25943">
      <formula>IF($B30="Quoting",TRUE,FALSE)</formula>
    </cfRule>
    <cfRule type="expression" dxfId="12637" priority="25944">
      <formula>IF($B30="Quoting",TRUE,FALSE)</formula>
    </cfRule>
    <cfRule type="expression" dxfId="12636" priority="25945">
      <formula>IF($B30="Quoting",TRUE,FALSE)</formula>
    </cfRule>
    <cfRule type="expression" dxfId="12635" priority="25946">
      <formula>IF($B30="Quoting",TRUE,FALSE)</formula>
    </cfRule>
    <cfRule type="expression" dxfId="12634" priority="25947">
      <formula>IF($B30="Quoting",TRUE,FALSE)</formula>
    </cfRule>
    <cfRule type="expression" dxfId="12633" priority="25948">
      <formula>IF($B30="Quoting",TRUE,FALSE)</formula>
    </cfRule>
    <cfRule type="expression" dxfId="12632" priority="25949">
      <formula>IF($B30="Quoting",TRUE,FALSE)</formula>
    </cfRule>
    <cfRule type="expression" dxfId="12631" priority="25950">
      <formula>IF($B30="Quoting",TRUE,FALSE)</formula>
    </cfRule>
    <cfRule type="expression" dxfId="12630" priority="25951">
      <formula>IF($B30="Quoting",TRUE,FALSE)</formula>
    </cfRule>
    <cfRule type="expression" dxfId="12629" priority="25952">
      <formula>IF($B30="Quoting",TRUE,FALSE)</formula>
    </cfRule>
    <cfRule type="expression" dxfId="12628" priority="25953">
      <formula>IF($B30="Quoting",TRUE,FALSE)</formula>
    </cfRule>
    <cfRule type="expression" dxfId="12627" priority="25954">
      <formula>IF($B30="Quoting",TRUE,FALSE)</formula>
    </cfRule>
    <cfRule type="expression" dxfId="12626" priority="25955">
      <formula>IF($B30="Quoting",TRUE,FALSE)</formula>
    </cfRule>
    <cfRule type="expression" dxfId="12625" priority="25956">
      <formula>IF($B30="Quoting",TRUE,FALSE)</formula>
    </cfRule>
    <cfRule type="expression" dxfId="12624" priority="25957">
      <formula>IF($B30="Quoting",TRUE,FALSE)</formula>
    </cfRule>
    <cfRule type="expression" dxfId="12623" priority="25958">
      <formula>IF($B30="Quoting",TRUE,FALSE)</formula>
    </cfRule>
    <cfRule type="expression" dxfId="12622" priority="25959">
      <formula>IF($B30="Quoting",TRUE,FALSE)</formula>
    </cfRule>
    <cfRule type="expression" dxfId="12621" priority="25960">
      <formula>IF($B30="Quoting",TRUE,FALSE)</formula>
    </cfRule>
    <cfRule type="expression" dxfId="12620" priority="25961">
      <formula>IF($B30="Quoting",TRUE,FALSE)</formula>
    </cfRule>
    <cfRule type="expression" dxfId="12619" priority="25962">
      <formula>IF($B30="Quoting",TRUE,FALSE)</formula>
    </cfRule>
    <cfRule type="expression" dxfId="12618" priority="25963">
      <formula>IF($B30="Quoting",TRUE,FALSE)</formula>
    </cfRule>
    <cfRule type="expression" dxfId="12617" priority="25964">
      <formula>IF($B30="Quoting",TRUE,FALSE)</formula>
    </cfRule>
    <cfRule type="expression" dxfId="12616" priority="25965">
      <formula>IF($B30="Quoting",TRUE,FALSE)</formula>
    </cfRule>
    <cfRule type="expression" dxfId="12615" priority="25966">
      <formula>IF($B30="Quoting",TRUE,FALSE)</formula>
    </cfRule>
    <cfRule type="expression" dxfId="12614" priority="25967">
      <formula>IF($B30="Quoting",TRUE,FALSE)</formula>
    </cfRule>
    <cfRule type="expression" dxfId="12613" priority="25968">
      <formula>IF($B30="Quoting",TRUE,FALSE)</formula>
    </cfRule>
    <cfRule type="expression" dxfId="12612" priority="25969">
      <formula>IF($B30="Quoting",TRUE,FALSE)</formula>
    </cfRule>
    <cfRule type="expression" dxfId="12611" priority="25970">
      <formula>IF($B30="Quoting",TRUE,FALSE)</formula>
    </cfRule>
    <cfRule type="expression" dxfId="12610" priority="25971">
      <formula>IF($B30="Quoting",TRUE,FALSE)</formula>
    </cfRule>
    <cfRule type="expression" dxfId="12609" priority="25972">
      <formula>IF($B30="Quoting",TRUE,FALSE)</formula>
    </cfRule>
    <cfRule type="expression" dxfId="12608" priority="25973">
      <formula>IF($B30="Quoting",TRUE,FALSE)</formula>
    </cfRule>
    <cfRule type="expression" dxfId="12607" priority="25974">
      <formula>IF($B30="Quoting",TRUE,FALSE)</formula>
    </cfRule>
    <cfRule type="expression" dxfId="12606" priority="25975">
      <formula>IF($B30="Quoting",TRUE,FALSE)</formula>
    </cfRule>
    <cfRule type="expression" dxfId="12605" priority="25976">
      <formula>IF($B30="Quoting",TRUE,FALSE)</formula>
    </cfRule>
    <cfRule type="expression" dxfId="12604" priority="25977">
      <formula>IF($B30="Quoting",TRUE,FALSE)</formula>
    </cfRule>
    <cfRule type="expression" dxfId="12603" priority="25978">
      <formula>IF($B30="Quoting",TRUE,FALSE)</formula>
    </cfRule>
    <cfRule type="expression" dxfId="12602" priority="25979">
      <formula>IF($B30="Quoting",TRUE,FALSE)</formula>
    </cfRule>
    <cfRule type="expression" dxfId="12601" priority="25980">
      <formula>IF($B30="Quoting",TRUE,FALSE)</formula>
    </cfRule>
    <cfRule type="expression" dxfId="12600" priority="25981">
      <formula>IF($B30="Quoting",TRUE,FALSE)</formula>
    </cfRule>
    <cfRule type="expression" dxfId="12599" priority="25982">
      <formula>IF($B30="Quoting",TRUE,FALSE)</formula>
    </cfRule>
    <cfRule type="expression" dxfId="12598" priority="25983">
      <formula>IF($B30="Quoting",TRUE,FALSE)</formula>
    </cfRule>
    <cfRule type="expression" dxfId="12597" priority="25984">
      <formula>IF($B30="Quoting",TRUE,FALSE)</formula>
    </cfRule>
    <cfRule type="expression" dxfId="12596" priority="25985">
      <formula>IF($B30="Quoting",TRUE,FALSE)</formula>
    </cfRule>
    <cfRule type="expression" dxfId="12595" priority="25986">
      <formula>IF($B30="Quoting",TRUE,FALSE)</formula>
    </cfRule>
    <cfRule type="expression" dxfId="12594" priority="25987">
      <formula>IF($B30="Quoting",TRUE,FALSE)</formula>
    </cfRule>
    <cfRule type="expression" dxfId="12593" priority="25988">
      <formula>IF($B30="Quoting",TRUE,FALSE)</formula>
    </cfRule>
    <cfRule type="expression" dxfId="12592" priority="25989">
      <formula>IF($B30="Quoting",TRUE,FALSE)</formula>
    </cfRule>
    <cfRule type="expression" dxfId="12591" priority="25990">
      <formula>IF($B30="Quoting",TRUE,FALSE)</formula>
    </cfRule>
    <cfRule type="expression" dxfId="12590" priority="25991">
      <formula>IF($B30="Quoting",TRUE,FALSE)</formula>
    </cfRule>
    <cfRule type="expression" dxfId="12589" priority="25992">
      <formula>IF($B30="Quoting",TRUE,FALSE)</formula>
    </cfRule>
    <cfRule type="expression" dxfId="12588" priority="25993">
      <formula>IF($B30="Quoting",TRUE,FALSE)</formula>
    </cfRule>
    <cfRule type="expression" dxfId="12587" priority="25994">
      <formula>IF($B30="Quoting",TRUE,FALSE)</formula>
    </cfRule>
    <cfRule type="expression" dxfId="12586" priority="25995">
      <formula>IF($B30="Quoting",TRUE,FALSE)</formula>
    </cfRule>
    <cfRule type="expression" dxfId="12585" priority="25996">
      <formula>IF($B30="Quoting",TRUE,FALSE)</formula>
    </cfRule>
    <cfRule type="expression" dxfId="12584" priority="25997">
      <formula>IF($B30="Quoting",TRUE,FALSE)</formula>
    </cfRule>
    <cfRule type="expression" dxfId="12583" priority="25998">
      <formula>IF($B30="Quoting",TRUE,FALSE)</formula>
    </cfRule>
    <cfRule type="expression" dxfId="12582" priority="25999">
      <formula>IF($B30="Quoting",TRUE,FALSE)</formula>
    </cfRule>
    <cfRule type="expression" dxfId="12581" priority="26000">
      <formula>IF($B30="Quoting",TRUE,FALSE)</formula>
    </cfRule>
    <cfRule type="expression" dxfId="12580" priority="26001">
      <formula>IF($B30="Quoting",TRUE,FALSE)</formula>
    </cfRule>
    <cfRule type="expression" dxfId="12579" priority="26002">
      <formula>IF($B30="Quoting",TRUE,FALSE)</formula>
    </cfRule>
    <cfRule type="expression" dxfId="12578" priority="26003">
      <formula>IF($B30="Quoting",TRUE,FALSE)</formula>
    </cfRule>
    <cfRule type="expression" dxfId="12577" priority="26004">
      <formula>IF($B30="Quoting",TRUE,FALSE)</formula>
    </cfRule>
    <cfRule type="expression" dxfId="12576" priority="26005">
      <formula>IF($B30="Quoting",TRUE,FALSE)</formula>
    </cfRule>
    <cfRule type="expression" dxfId="12575" priority="26006">
      <formula>IF($B30="Quoting",TRUE,FALSE)</formula>
    </cfRule>
    <cfRule type="expression" dxfId="12574" priority="26007">
      <formula>IF($B30="Quoting",TRUE,FALSE)</formula>
    </cfRule>
    <cfRule type="expression" dxfId="12573" priority="26008">
      <formula>IF($B30="Quoting",TRUE,FALSE)</formula>
    </cfRule>
    <cfRule type="expression" dxfId="12572" priority="26009">
      <formula>IF($B30="Quoting",TRUE,FALSE)</formula>
    </cfRule>
    <cfRule type="expression" dxfId="12571" priority="26010">
      <formula>IF($B30="Quoting",TRUE,FALSE)</formula>
    </cfRule>
    <cfRule type="expression" dxfId="12570" priority="26011">
      <formula>IF($B30="Quoting",TRUE,FALSE)</formula>
    </cfRule>
    <cfRule type="expression" dxfId="12569" priority="26012">
      <formula>IF($B30="Quoting",TRUE,FALSE)</formula>
    </cfRule>
    <cfRule type="expression" dxfId="12568" priority="26013">
      <formula>IF($B30="Quoting",TRUE,FALSE)</formula>
    </cfRule>
    <cfRule type="expression" dxfId="12567" priority="26014">
      <formula>IF($B30="Quoting",TRUE,FALSE)</formula>
    </cfRule>
    <cfRule type="expression" dxfId="12566" priority="26015">
      <formula>IF($B30="Quoting",TRUE,FALSE)</formula>
    </cfRule>
    <cfRule type="expression" dxfId="12565" priority="26016">
      <formula>IF($B30="Quoting",TRUE,FALSE)</formula>
    </cfRule>
    <cfRule type="expression" dxfId="12564" priority="26017">
      <formula>IF($B30="Quoting",TRUE,FALSE)</formula>
    </cfRule>
    <cfRule type="expression" dxfId="12563" priority="26018">
      <formula>IF($B30="Quoting",TRUE,FALSE)</formula>
    </cfRule>
    <cfRule type="expression" dxfId="12562" priority="26019">
      <formula>IF($B30="Quoting",TRUE,FALSE)</formula>
    </cfRule>
    <cfRule type="expression" dxfId="12561" priority="26020">
      <formula>IF($B30="Quoting",TRUE,FALSE)</formula>
    </cfRule>
    <cfRule type="expression" dxfId="12560" priority="26021">
      <formula>IF($B30="Quoting",TRUE,FALSE)</formula>
    </cfRule>
    <cfRule type="expression" dxfId="12559" priority="26022">
      <formula>IF($B30="Quoting",TRUE,FALSE)</formula>
    </cfRule>
    <cfRule type="expression" dxfId="12558" priority="26023">
      <formula>IF($B30="Quoting",TRUE,FALSE)</formula>
    </cfRule>
    <cfRule type="expression" dxfId="12557" priority="26024">
      <formula>IF($B30="Quoting",TRUE,FALSE)</formula>
    </cfRule>
    <cfRule type="expression" dxfId="12556" priority="26025">
      <formula>IF($B30="Quoting",TRUE,FALSE)</formula>
    </cfRule>
    <cfRule type="expression" dxfId="12555" priority="26026">
      <formula>IF($B30="Quoting",TRUE,FALSE)</formula>
    </cfRule>
    <cfRule type="expression" dxfId="12554" priority="26027">
      <formula>IF($B30="Quoting",TRUE,FALSE)</formula>
    </cfRule>
    <cfRule type="expression" dxfId="12553" priority="26028">
      <formula>IF($B30="Quoting",TRUE,FALSE)</formula>
    </cfRule>
    <cfRule type="expression" dxfId="12552" priority="26029">
      <formula>IF($B30="Quoting",TRUE,FALSE)</formula>
    </cfRule>
    <cfRule type="expression" dxfId="12551" priority="26030">
      <formula>IF($B30="Quoting",TRUE,FALSE)</formula>
    </cfRule>
    <cfRule type="expression" dxfId="12550" priority="26031">
      <formula>IF($B30="Quoting",TRUE,FALSE)</formula>
    </cfRule>
    <cfRule type="expression" dxfId="12549" priority="26032">
      <formula>IF($B30="Quoting",TRUE,FALSE)</formula>
    </cfRule>
    <cfRule type="expression" dxfId="12548" priority="26033">
      <formula>IF($B30="Quoting",TRUE,FALSE)</formula>
    </cfRule>
    <cfRule type="expression" dxfId="12547" priority="26034">
      <formula>IF($B30="Quoting",TRUE,FALSE)</formula>
    </cfRule>
    <cfRule type="expression" dxfId="12546" priority="26035">
      <formula>IF($B30="Quoting",TRUE,FALSE)</formula>
    </cfRule>
    <cfRule type="expression" dxfId="12545" priority="26036">
      <formula>IF($B30="Quoting",TRUE,FALSE)</formula>
    </cfRule>
    <cfRule type="expression" dxfId="12544" priority="26037">
      <formula>IF($B30="Quoting",TRUE,FALSE)</formula>
    </cfRule>
    <cfRule type="expression" dxfId="12543" priority="26038">
      <formula>IF($B30="Quoting",TRUE,FALSE)</formula>
    </cfRule>
    <cfRule type="expression" dxfId="12542" priority="26039">
      <formula>IF($B30="Quoting",TRUE,FALSE)</formula>
    </cfRule>
    <cfRule type="expression" dxfId="12541" priority="26040">
      <formula>IF($B30="Quoting",TRUE,FALSE)</formula>
    </cfRule>
    <cfRule type="expression" dxfId="12540" priority="26041">
      <formula>IF($B30="Quoting",TRUE,FALSE)</formula>
    </cfRule>
    <cfRule type="expression" dxfId="12539" priority="26042">
      <formula>IF($B30="Quoting",TRUE,FALSE)</formula>
    </cfRule>
    <cfRule type="expression" dxfId="12538" priority="26043">
      <formula>IF($B30="Quoting",TRUE,FALSE)</formula>
    </cfRule>
    <cfRule type="expression" dxfId="12537" priority="26044">
      <formula>IF($B30="Quoting",TRUE,FALSE)</formula>
    </cfRule>
    <cfRule type="expression" dxfId="12536" priority="26045">
      <formula>IF($B30="Quoting",TRUE,FALSE)</formula>
    </cfRule>
    <cfRule type="expression" dxfId="12535" priority="26046">
      <formula>IF($B30="Quoting",TRUE,FALSE)</formula>
    </cfRule>
    <cfRule type="expression" dxfId="12534" priority="26047">
      <formula>IF($B30="Quoting",TRUE,FALSE)</formula>
    </cfRule>
    <cfRule type="expression" dxfId="12533" priority="26048">
      <formula>IF($B30="Quoting",TRUE,FALSE)</formula>
    </cfRule>
    <cfRule type="expression" dxfId="12532" priority="26049">
      <formula>IF($B30="Quoting",TRUE,FALSE)</formula>
    </cfRule>
    <cfRule type="expression" dxfId="12531" priority="26050">
      <formula>IF($B30="Quoting",TRUE,FALSE)</formula>
    </cfRule>
    <cfRule type="expression" dxfId="12530" priority="26051">
      <formula>IF($B30="Quoting",TRUE,FALSE)</formula>
    </cfRule>
    <cfRule type="expression" dxfId="12529" priority="26052">
      <formula>IF($B30="Quoting",TRUE,FALSE)</formula>
    </cfRule>
    <cfRule type="expression" dxfId="12528" priority="26053">
      <formula>IF($B30="Quoting",TRUE,FALSE)</formula>
    </cfRule>
    <cfRule type="expression" dxfId="12527" priority="26054">
      <formula>IF($B30="Quoting",TRUE,FALSE)</formula>
    </cfRule>
    <cfRule type="expression" dxfId="12526" priority="26055">
      <formula>IF($B30="Quoting",TRUE,FALSE)</formula>
    </cfRule>
    <cfRule type="expression" dxfId="12525" priority="26056">
      <formula>IF($B30="Quoting",TRUE,FALSE)</formula>
    </cfRule>
    <cfRule type="expression" dxfId="12524" priority="26057">
      <formula>IF($B30="Quoting",TRUE,FALSE)</formula>
    </cfRule>
    <cfRule type="expression" dxfId="12523" priority="26058">
      <formula>IF($B30="Quoting",TRUE,FALSE)</formula>
    </cfRule>
    <cfRule type="expression" dxfId="12522" priority="26059">
      <formula>IF($B30="Quoting",TRUE,FALSE)</formula>
    </cfRule>
    <cfRule type="expression" dxfId="12521" priority="26060">
      <formula>IF($B30="Quoting",TRUE,FALSE)</formula>
    </cfRule>
    <cfRule type="expression" dxfId="12520" priority="26061">
      <formula>IF($B30="Quoting",TRUE,FALSE)</formula>
    </cfRule>
    <cfRule type="expression" dxfId="12519" priority="26062">
      <formula>IF($B30="Quoting",TRUE,FALSE)</formula>
    </cfRule>
    <cfRule type="expression" dxfId="12518" priority="26063">
      <formula>IF($B30="Quoting",TRUE,FALSE)</formula>
    </cfRule>
    <cfRule type="expression" dxfId="12517" priority="26064">
      <formula>IF($B30="Quoting",TRUE,FALSE)</formula>
    </cfRule>
    <cfRule type="expression" dxfId="12516" priority="26065">
      <formula>IF($B30="Quoting",TRUE,FALSE)</formula>
    </cfRule>
    <cfRule type="expression" dxfId="12515" priority="26066">
      <formula>IF($B30="Quoting",TRUE,FALSE)</formula>
    </cfRule>
    <cfRule type="expression" dxfId="12514" priority="26067">
      <formula>IF($B30="Quoting",TRUE,FALSE)</formula>
    </cfRule>
    <cfRule type="expression" dxfId="12513" priority="26068">
      <formula>IF($B30="Quoting",TRUE,FALSE)</formula>
    </cfRule>
    <cfRule type="expression" dxfId="12512" priority="26069">
      <formula>IF($B30="Quoting",TRUE,FALSE)</formula>
    </cfRule>
    <cfRule type="expression" dxfId="12511" priority="26070">
      <formula>IF($B30="Quoting",TRUE,FALSE)</formula>
    </cfRule>
    <cfRule type="expression" dxfId="12510" priority="26071">
      <formula>IF($B30="Quoting",TRUE,FALSE)</formula>
    </cfRule>
    <cfRule type="expression" dxfId="12509" priority="26072">
      <formula>IF($B30="Quoting",TRUE,FALSE)</formula>
    </cfRule>
    <cfRule type="expression" dxfId="12508" priority="26073">
      <formula>IF($B30="Quoting",TRUE,FALSE)</formula>
    </cfRule>
    <cfRule type="expression" dxfId="12507" priority="26074">
      <formula>IF($B30="Quoting",TRUE,FALSE)</formula>
    </cfRule>
    <cfRule type="expression" dxfId="12506" priority="26075">
      <formula>IF($B30="Quoting",TRUE,FALSE)</formula>
    </cfRule>
    <cfRule type="expression" dxfId="12505" priority="26076">
      <formula>IF($B30="Quoting",TRUE,FALSE)</formula>
    </cfRule>
    <cfRule type="expression" dxfId="12504" priority="26077">
      <formula>IF($B30="Quoting",TRUE,FALSE)</formula>
    </cfRule>
    <cfRule type="expression" dxfId="12503" priority="26078">
      <formula>IF($B30="Quoting",TRUE,FALSE)</formula>
    </cfRule>
    <cfRule type="expression" dxfId="12502" priority="26079">
      <formula>IF($B30="Quoting",TRUE,FALSE)</formula>
    </cfRule>
    <cfRule type="expression" dxfId="12501" priority="26080">
      <formula>IF($B30="Quoting",TRUE,FALSE)</formula>
    </cfRule>
    <cfRule type="expression" dxfId="12500" priority="26081">
      <formula>IF($B30="Quoting",TRUE,FALSE)</formula>
    </cfRule>
    <cfRule type="expression" dxfId="12499" priority="26082">
      <formula>IF($B30="Quoting",TRUE,FALSE)</formula>
    </cfRule>
    <cfRule type="expression" dxfId="12498" priority="26083">
      <formula>IF($B30="Quoting",TRUE,FALSE)</formula>
    </cfRule>
    <cfRule type="expression" dxfId="12497" priority="26084">
      <formula>IF($B30="Quoting",TRUE,FALSE)</formula>
    </cfRule>
    <cfRule type="expression" dxfId="12496" priority="26085">
      <formula>IF($B30="Quoting",TRUE,FALSE)</formula>
    </cfRule>
    <cfRule type="expression" dxfId="12495" priority="26086">
      <formula>IF($B30="Quoting",TRUE,FALSE)</formula>
    </cfRule>
    <cfRule type="expression" dxfId="12494" priority="26087">
      <formula>IF($B30="Quoting",TRUE,FALSE)</formula>
    </cfRule>
    <cfRule type="expression" dxfId="12493" priority="26088">
      <formula>IF($B30="Quoting",TRUE,FALSE)</formula>
    </cfRule>
    <cfRule type="expression" dxfId="12492" priority="26089">
      <formula>IF($B30="Quoting",TRUE,FALSE)</formula>
    </cfRule>
    <cfRule type="expression" dxfId="12491" priority="26090">
      <formula>IF($B30="Quoting",TRUE,FALSE)</formula>
    </cfRule>
    <cfRule type="expression" dxfId="12490" priority="26091">
      <formula>IF($B30="Quoting",TRUE,FALSE)</formula>
    </cfRule>
    <cfRule type="expression" dxfId="12489" priority="26092">
      <formula>IF($B30="Quoting",TRUE,FALSE)</formula>
    </cfRule>
    <cfRule type="expression" dxfId="12488" priority="26093">
      <formula>IF($B30="Quoting",TRUE,FALSE)</formula>
    </cfRule>
    <cfRule type="expression" dxfId="12487" priority="26094">
      <formula>IF($B30="Quoting",TRUE,FALSE)</formula>
    </cfRule>
    <cfRule type="expression" dxfId="12486" priority="26095">
      <formula>IF($B30="Quoting",TRUE,FALSE)</formula>
    </cfRule>
    <cfRule type="expression" dxfId="12485" priority="26096">
      <formula>IF($B30="Quoting",TRUE,FALSE)</formula>
    </cfRule>
    <cfRule type="expression" dxfId="12484" priority="26097">
      <formula>IF($B30="Quoting",TRUE,FALSE)</formula>
    </cfRule>
    <cfRule type="expression" dxfId="12483" priority="26098">
      <formula>IF($B30="Quoting",TRUE,FALSE)</formula>
    </cfRule>
    <cfRule type="expression" dxfId="12482" priority="26099">
      <formula>IF($B30="Quoting",TRUE,FALSE)</formula>
    </cfRule>
    <cfRule type="expression" dxfId="12481" priority="26100">
      <formula>IF($B30="Quoting",TRUE,FALSE)</formula>
    </cfRule>
    <cfRule type="expression" dxfId="12480" priority="26101">
      <formula>IF($B30="Quoting",TRUE,FALSE)</formula>
    </cfRule>
    <cfRule type="expression" dxfId="12479" priority="26102">
      <formula>IF($B30="Quoting",TRUE,FALSE)</formula>
    </cfRule>
    <cfRule type="expression" dxfId="12478" priority="26103">
      <formula>IF($B30="Quoting",TRUE,FALSE)</formula>
    </cfRule>
    <cfRule type="expression" dxfId="12477" priority="26104">
      <formula>IF($B30="Quoting",TRUE,FALSE)</formula>
    </cfRule>
    <cfRule type="expression" dxfId="12476" priority="26105">
      <formula>IF($B30="Quoting",TRUE,FALSE)</formula>
    </cfRule>
    <cfRule type="expression" dxfId="12475" priority="26106">
      <formula>IF($B30="Quoting",TRUE,FALSE)</formula>
    </cfRule>
    <cfRule type="expression" dxfId="12474" priority="26107">
      <formula>IF($B30="Quoting",TRUE,FALSE)</formula>
    </cfRule>
    <cfRule type="expression" dxfId="12473" priority="26108">
      <formula>IF($B30="Quoting",TRUE,FALSE)</formula>
    </cfRule>
    <cfRule type="expression" dxfId="12472" priority="26109">
      <formula>IF($B30="Quoting",TRUE,FALSE)</formula>
    </cfRule>
    <cfRule type="expression" dxfId="12471" priority="26110">
      <formula>IF($B30="Quoting",TRUE,FALSE)</formula>
    </cfRule>
    <cfRule type="expression" dxfId="12470" priority="26111">
      <formula>IF($B30="Quoting",TRUE,FALSE)</formula>
    </cfRule>
    <cfRule type="expression" dxfId="12469" priority="26112">
      <formula>IF($B30="Quoting",TRUE,FALSE)</formula>
    </cfRule>
    <cfRule type="expression" dxfId="12468" priority="26113">
      <formula>IF($B30="Quoting",TRUE,FALSE)</formula>
    </cfRule>
    <cfRule type="expression" dxfId="12467" priority="26114">
      <formula>IF($B30="Quoting",TRUE,FALSE)</formula>
    </cfRule>
    <cfRule type="expression" dxfId="12466" priority="26115">
      <formula>IF($B30="Quoting",TRUE,FALSE)</formula>
    </cfRule>
    <cfRule type="expression" dxfId="12465" priority="26116">
      <formula>IF($B30="Quoting",TRUE,FALSE)</formula>
    </cfRule>
    <cfRule type="expression" dxfId="12464" priority="26117">
      <formula>IF($B30="Quoting",TRUE,FALSE)</formula>
    </cfRule>
    <cfRule type="expression" dxfId="12463" priority="26118">
      <formula>IF($B30="Quoting",TRUE,FALSE)</formula>
    </cfRule>
    <cfRule type="expression" dxfId="12462" priority="26119">
      <formula>IF($B30="Quoting",TRUE,FALSE)</formula>
    </cfRule>
    <cfRule type="expression" dxfId="12461" priority="26120">
      <formula>IF($B30="Quoting",TRUE,FALSE)</formula>
    </cfRule>
    <cfRule type="expression" dxfId="12460" priority="26121">
      <formula>IF($B30="Quoting",TRUE,FALSE)</formula>
    </cfRule>
    <cfRule type="expression" dxfId="12459" priority="26122">
      <formula>IF($B30="Quoting",TRUE,FALSE)</formula>
    </cfRule>
    <cfRule type="expression" dxfId="12458" priority="26123">
      <formula>IF($B30="Quoting",TRUE,FALSE)</formula>
    </cfRule>
    <cfRule type="expression" dxfId="12457" priority="26124">
      <formula>IF($B30="Quoting",TRUE,FALSE)</formula>
    </cfRule>
    <cfRule type="expression" dxfId="12456" priority="26125">
      <formula>IF($B30="Quoting",TRUE,FALSE)</formula>
    </cfRule>
    <cfRule type="expression" dxfId="12455" priority="26126">
      <formula>IF($B30="Quoting",TRUE,FALSE)</formula>
    </cfRule>
    <cfRule type="expression" dxfId="12454" priority="26127">
      <formula>IF($B30="Quoting",TRUE,FALSE)</formula>
    </cfRule>
    <cfRule type="expression" dxfId="12453" priority="26128">
      <formula>IF($B30="Quoting",TRUE,FALSE)</formula>
    </cfRule>
    <cfRule type="expression" dxfId="12452" priority="26129">
      <formula>IF($B30="Quoting",TRUE,FALSE)</formula>
    </cfRule>
    <cfRule type="expression" dxfId="12451" priority="26130">
      <formula>IF($B30="Quoting",TRUE,FALSE)</formula>
    </cfRule>
    <cfRule type="expression" dxfId="12450" priority="26131">
      <formula>IF($B30="Quoting",TRUE,FALSE)</formula>
    </cfRule>
    <cfRule type="expression" dxfId="12449" priority="26132">
      <formula>IF($B30="Quoting",TRUE,FALSE)</formula>
    </cfRule>
    <cfRule type="expression" dxfId="12448" priority="26133">
      <formula>IF($B30="Quoting",TRUE,FALSE)</formula>
    </cfRule>
    <cfRule type="expression" dxfId="12447" priority="26134">
      <formula>IF($B30="Quoting",TRUE,FALSE)</formula>
    </cfRule>
    <cfRule type="expression" dxfId="12446" priority="26135">
      <formula>IF($B30="Quoting",TRUE,FALSE)</formula>
    </cfRule>
    <cfRule type="expression" dxfId="12445" priority="26136">
      <formula>IF($B30="Quoting",TRUE,FALSE)</formula>
    </cfRule>
    <cfRule type="expression" dxfId="12444" priority="26137">
      <formula>IF($B30="Quoting",TRUE,FALSE)</formula>
    </cfRule>
    <cfRule type="expression" dxfId="12443" priority="26138">
      <formula>IF($B30="Quoting",TRUE,FALSE)</formula>
    </cfRule>
    <cfRule type="expression" dxfId="12442" priority="26139">
      <formula>IF($B30="Quoting",TRUE,FALSE)</formula>
    </cfRule>
    <cfRule type="expression" dxfId="12441" priority="26140">
      <formula>IF($B30="Quoting",TRUE,FALSE)</formula>
    </cfRule>
    <cfRule type="expression" dxfId="12440" priority="26141">
      <formula>IF($B30="Quoting",TRUE,FALSE)</formula>
    </cfRule>
    <cfRule type="expression" dxfId="12439" priority="26142">
      <formula>IF($B30="Quoting",TRUE,FALSE)</formula>
    </cfRule>
    <cfRule type="expression" dxfId="12438" priority="26143">
      <formula>IF($B30="Quoting",TRUE,FALSE)</formula>
    </cfRule>
    <cfRule type="expression" dxfId="12437" priority="26144">
      <formula>IF($B30="Quoting",TRUE,FALSE)</formula>
    </cfRule>
    <cfRule type="expression" dxfId="12436" priority="26145">
      <formula>IF($B30="Quoting",TRUE,FALSE)</formula>
    </cfRule>
    <cfRule type="expression" dxfId="12435" priority="26146">
      <formula>IF($B30="Quoting",TRUE,FALSE)</formula>
    </cfRule>
    <cfRule type="expression" dxfId="12434" priority="26147">
      <formula>IF($B30="Quoting",TRUE,FALSE)</formula>
    </cfRule>
    <cfRule type="expression" dxfId="12433" priority="26148">
      <formula>IF($B30="Quoting",TRUE,FALSE)</formula>
    </cfRule>
    <cfRule type="expression" dxfId="12432" priority="26149">
      <formula>IF($B30="Quoting",TRUE,FALSE)</formula>
    </cfRule>
    <cfRule type="expression" dxfId="12431" priority="26150">
      <formula>IF($B30="Quoting",TRUE,FALSE)</formula>
    </cfRule>
    <cfRule type="expression" dxfId="12430" priority="26151">
      <formula>IF($B30="Quoting",TRUE,FALSE)</formula>
    </cfRule>
    <cfRule type="expression" dxfId="12429" priority="26152">
      <formula>IF($B30="Quoting",TRUE,FALSE)</formula>
    </cfRule>
    <cfRule type="expression" dxfId="12428" priority="26153">
      <formula>IF($B30="Quoting",TRUE,FALSE)</formula>
    </cfRule>
    <cfRule type="expression" dxfId="12427" priority="26154">
      <formula>IF($B30="Quoting",TRUE,FALSE)</formula>
    </cfRule>
    <cfRule type="expression" dxfId="12426" priority="26155">
      <formula>IF($B30="Quoting",TRUE,FALSE)</formula>
    </cfRule>
    <cfRule type="expression" dxfId="12425" priority="26156">
      <formula>IF($B30="Quoting",TRUE,FALSE)</formula>
    </cfRule>
    <cfRule type="expression" dxfId="12424" priority="26157">
      <formula>IF($B30="Quoting",TRUE,FALSE)</formula>
    </cfRule>
    <cfRule type="expression" dxfId="12423" priority="26158">
      <formula>IF($B30="Quoting",TRUE,FALSE)</formula>
    </cfRule>
    <cfRule type="expression" dxfId="12422" priority="26159">
      <formula>IF($B30="Quoting",TRUE,FALSE)</formula>
    </cfRule>
    <cfRule type="expression" dxfId="12421" priority="26160">
      <formula>IF($B30="Quoting",TRUE,FALSE)</formula>
    </cfRule>
    <cfRule type="expression" dxfId="12420" priority="26161">
      <formula>IF($B30="Quoting",TRUE,FALSE)</formula>
    </cfRule>
    <cfRule type="expression" dxfId="12419" priority="26162">
      <formula>IF($B30="Quoting",TRUE,FALSE)</formula>
    </cfRule>
    <cfRule type="expression" dxfId="12418" priority="26163">
      <formula>IF($B30="Quoting",TRUE,FALSE)</formula>
    </cfRule>
    <cfRule type="expression" dxfId="12417" priority="26164">
      <formula>IF($B30="Quoting",TRUE,FALSE)</formula>
    </cfRule>
    <cfRule type="expression" dxfId="12416" priority="26165">
      <formula>IF($B30="Quoting",TRUE,FALSE)</formula>
    </cfRule>
    <cfRule type="expression" dxfId="12415" priority="26166">
      <formula>IF($B30="Quoting",TRUE,FALSE)</formula>
    </cfRule>
    <cfRule type="expression" dxfId="12414" priority="26167">
      <formula>IF($B30="Quoting",TRUE,FALSE)</formula>
    </cfRule>
    <cfRule type="expression" dxfId="12413" priority="26168">
      <formula>IF($B30="Quoting",TRUE,FALSE)</formula>
    </cfRule>
    <cfRule type="expression" dxfId="12412" priority="26169">
      <formula>IF($B30="Quoting",TRUE,FALSE)</formula>
    </cfRule>
    <cfRule type="expression" dxfId="12411" priority="26170">
      <formula>IF($B30="Quoting",TRUE,FALSE)</formula>
    </cfRule>
    <cfRule type="expression" dxfId="12410" priority="26171">
      <formula>IF($B30="Quoting",TRUE,FALSE)</formula>
    </cfRule>
    <cfRule type="expression" dxfId="12409" priority="26172">
      <formula>IF($B30="Quoting",TRUE,FALSE)</formula>
    </cfRule>
    <cfRule type="expression" dxfId="12408" priority="26173">
      <formula>IF($B30="Quoting",TRUE,FALSE)</formula>
    </cfRule>
    <cfRule type="expression" dxfId="12407" priority="26174">
      <formula>IF($B30="Quoting",TRUE,FALSE)</formula>
    </cfRule>
    <cfRule type="expression" dxfId="12406" priority="26175">
      <formula>IF($B30="Quoting",TRUE,FALSE)</formula>
    </cfRule>
    <cfRule type="expression" dxfId="12405" priority="26176">
      <formula>IF($B30="Quoting",TRUE,FALSE)</formula>
    </cfRule>
    <cfRule type="expression" dxfId="12404" priority="26177">
      <formula>IF($B30="Quoting",TRUE,FALSE)</formula>
    </cfRule>
    <cfRule type="expression" dxfId="12403" priority="26178">
      <formula>IF($B30="Quoting",TRUE,FALSE)</formula>
    </cfRule>
    <cfRule type="expression" dxfId="12402" priority="26179">
      <formula>IF($B30="Quoting",TRUE,FALSE)</formula>
    </cfRule>
    <cfRule type="expression" dxfId="12401" priority="26180">
      <formula>IF($B30="Quoting",TRUE,FALSE)</formula>
    </cfRule>
    <cfRule type="expression" dxfId="12400" priority="26181">
      <formula>IF($B30="Quoting",TRUE,FALSE)</formula>
    </cfRule>
    <cfRule type="expression" dxfId="12399" priority="26182">
      <formula>IF($B30="Quoting",TRUE,FALSE)</formula>
    </cfRule>
    <cfRule type="expression" dxfId="12398" priority="26183">
      <formula>IF($B30="Quoting",TRUE,FALSE)</formula>
    </cfRule>
    <cfRule type="expression" dxfId="12397" priority="26184">
      <formula>IF($B30="Quoting",TRUE,FALSE)</formula>
    </cfRule>
    <cfRule type="expression" dxfId="12396" priority="26185">
      <formula>IF($B30="Quoting",TRUE,FALSE)</formula>
    </cfRule>
    <cfRule type="expression" dxfId="12395" priority="26186">
      <formula>IF($B30="Quoting",TRUE,FALSE)</formula>
    </cfRule>
    <cfRule type="expression" dxfId="12394" priority="26187">
      <formula>IF($B30="Quoting",TRUE,FALSE)</formula>
    </cfRule>
    <cfRule type="expression" dxfId="12393" priority="26188">
      <formula>IF($B30="Quoting",TRUE,FALSE)</formula>
    </cfRule>
    <cfRule type="expression" dxfId="12392" priority="26189">
      <formula>IF($B30="Quoting",TRUE,FALSE)</formula>
    </cfRule>
    <cfRule type="expression" dxfId="12391" priority="26190">
      <formula>IF($B30="Quoting",TRUE,FALSE)</formula>
    </cfRule>
    <cfRule type="expression" dxfId="12390" priority="26191">
      <formula>IF($B30="Quoting",TRUE,FALSE)</formula>
    </cfRule>
    <cfRule type="expression" dxfId="12389" priority="26192">
      <formula>IF($B30="Quoting",TRUE,FALSE)</formula>
    </cfRule>
    <cfRule type="expression" dxfId="12388" priority="26193">
      <formula>IF($B30="Quoting",TRUE,FALSE)</formula>
    </cfRule>
    <cfRule type="expression" dxfId="12387" priority="26194">
      <formula>IF($B30="Quoting",TRUE,FALSE)</formula>
    </cfRule>
    <cfRule type="expression" dxfId="12386" priority="26195">
      <formula>IF($B30="Quoting",TRUE,FALSE)</formula>
    </cfRule>
    <cfRule type="expression" dxfId="12385" priority="26196">
      <formula>IF($B30="Quoting",TRUE,FALSE)</formula>
    </cfRule>
    <cfRule type="expression" dxfId="12384" priority="26197">
      <formula>IF($B30="Quoting",TRUE,FALSE)</formula>
    </cfRule>
    <cfRule type="expression" dxfId="12383" priority="26198">
      <formula>IF($B30="Quoting",TRUE,FALSE)</formula>
    </cfRule>
    <cfRule type="expression" dxfId="12382" priority="26199">
      <formula>IF($B30="Quoting",TRUE,FALSE)</formula>
    </cfRule>
    <cfRule type="expression" dxfId="12381" priority="26200">
      <formula>IF($B30="Quoting",TRUE,FALSE)</formula>
    </cfRule>
    <cfRule type="expression" dxfId="12380" priority="26201">
      <formula>IF($B30="Quoting",TRUE,FALSE)</formula>
    </cfRule>
    <cfRule type="expression" dxfId="12379" priority="26202">
      <formula>IF($B30="Quoting",TRUE,FALSE)</formula>
    </cfRule>
    <cfRule type="expression" dxfId="12378" priority="26203">
      <formula>IF($B30="Quoting",TRUE,FALSE)</formula>
    </cfRule>
    <cfRule type="expression" dxfId="12377" priority="26204">
      <formula>IF($B30="Quoting",TRUE,FALSE)</formula>
    </cfRule>
    <cfRule type="expression" dxfId="12376" priority="26205">
      <formula>IF($B30="Quoting",TRUE,FALSE)</formula>
    </cfRule>
    <cfRule type="expression" dxfId="12375" priority="26206">
      <formula>IF($B30="Quoting",TRUE,FALSE)</formula>
    </cfRule>
    <cfRule type="expression" dxfId="12374" priority="26207">
      <formula>IF($B30="Quoting",TRUE,FALSE)</formula>
    </cfRule>
    <cfRule type="expression" dxfId="12373" priority="26208">
      <formula>IF($B30="Quoting",TRUE,FALSE)</formula>
    </cfRule>
    <cfRule type="expression" dxfId="12372" priority="26209">
      <formula>IF($B30="Quoting",TRUE,FALSE)</formula>
    </cfRule>
    <cfRule type="expression" dxfId="12371" priority="26210">
      <formula>IF($B30="Quoting",TRUE,FALSE)</formula>
    </cfRule>
    <cfRule type="expression" dxfId="12370" priority="26211">
      <formula>IF($B30="Quoting",TRUE,FALSE)</formula>
    </cfRule>
    <cfRule type="expression" dxfId="12369" priority="26212">
      <formula>IF($B30="Quoting",TRUE,FALSE)</formula>
    </cfRule>
    <cfRule type="expression" dxfId="12368" priority="26213">
      <formula>IF($B30="Quoting",TRUE,FALSE)</formula>
    </cfRule>
    <cfRule type="expression" dxfId="12367" priority="26214">
      <formula>IF($B30="Quoting",TRUE,FALSE)</formula>
    </cfRule>
    <cfRule type="expression" dxfId="12366" priority="26215">
      <formula>IF($B30="Quoting",TRUE,FALSE)</formula>
    </cfRule>
    <cfRule type="expression" dxfId="12365" priority="26216">
      <formula>IF($B30="Quoting",TRUE,FALSE)</formula>
    </cfRule>
    <cfRule type="expression" dxfId="12364" priority="26217">
      <formula>IF($B30="Quoting",TRUE,FALSE)</formula>
    </cfRule>
    <cfRule type="expression" dxfId="12363" priority="26218">
      <formula>IF($B30="Quoting",TRUE,FALSE)</formula>
    </cfRule>
    <cfRule type="expression" dxfId="12362" priority="26219">
      <formula>IF($B30="Quoting",TRUE,FALSE)</formula>
    </cfRule>
    <cfRule type="expression" dxfId="12361" priority="26220">
      <formula>IF($B30="Quoting",TRUE,FALSE)</formula>
    </cfRule>
    <cfRule type="expression" dxfId="12360" priority="26221">
      <formula>IF($B30="Quoting",TRUE,FALSE)</formula>
    </cfRule>
    <cfRule type="expression" dxfId="12359" priority="26222">
      <formula>IF($B30="Quoting",TRUE,FALSE)</formula>
    </cfRule>
    <cfRule type="expression" dxfId="12358" priority="26223">
      <formula>IF($B30="Quoting",TRUE,FALSE)</formula>
    </cfRule>
    <cfRule type="expression" dxfId="12357" priority="26224">
      <formula>IF($B30="Quoting",TRUE,FALSE)</formula>
    </cfRule>
    <cfRule type="expression" dxfId="12356" priority="26225">
      <formula>IF($B30="Quoting",TRUE,FALSE)</formula>
    </cfRule>
    <cfRule type="expression" dxfId="12355" priority="26226">
      <formula>IF($B30="Quoting",TRUE,FALSE)</formula>
    </cfRule>
    <cfRule type="expression" dxfId="12354" priority="26227">
      <formula>IF($B30="Quoting",TRUE,FALSE)</formula>
    </cfRule>
    <cfRule type="expression" dxfId="12353" priority="26228">
      <formula>IF($B30="Quoting",TRUE,FALSE)</formula>
    </cfRule>
    <cfRule type="expression" dxfId="12352" priority="26229">
      <formula>IF($B30="Quoting",TRUE,FALSE)</formula>
    </cfRule>
    <cfRule type="expression" dxfId="12351" priority="26230">
      <formula>IF($B30="Quoting",TRUE,FALSE)</formula>
    </cfRule>
    <cfRule type="expression" dxfId="12350" priority="26231">
      <formula>IF($B30="Quoting",TRUE,FALSE)</formula>
    </cfRule>
    <cfRule type="expression" dxfId="12349" priority="26232">
      <formula>IF($B30="Quoting",TRUE,FALSE)</formula>
    </cfRule>
    <cfRule type="expression" dxfId="12348" priority="26233">
      <formula>IF($B30="Quoting",TRUE,FALSE)</formula>
    </cfRule>
    <cfRule type="expression" dxfId="12347" priority="26234">
      <formula>IF($B30="Quoting",TRUE,FALSE)</formula>
    </cfRule>
    <cfRule type="expression" dxfId="12346" priority="26235">
      <formula>IF($B30="Quoting",TRUE,FALSE)</formula>
    </cfRule>
    <cfRule type="expression" dxfId="12345" priority="26236">
      <formula>IF($B30="Quoting",TRUE,FALSE)</formula>
    </cfRule>
    <cfRule type="expression" dxfId="12344" priority="26237">
      <formula>IF($B30="Quoting",TRUE,FALSE)</formula>
    </cfRule>
    <cfRule type="expression" dxfId="12343" priority="26238">
      <formula>IF($B30="Quoting",TRUE,FALSE)</formula>
    </cfRule>
    <cfRule type="expression" dxfId="12342" priority="26239">
      <formula>IF($B30="Quoting",TRUE,FALSE)</formula>
    </cfRule>
    <cfRule type="expression" dxfId="12341" priority="26240">
      <formula>IF($B30="Quoting",TRUE,FALSE)</formula>
    </cfRule>
    <cfRule type="expression" dxfId="12340" priority="26241">
      <formula>IF($B30="Quoting",TRUE,FALSE)</formula>
    </cfRule>
    <cfRule type="expression" dxfId="12339" priority="26242">
      <formula>IF($B30="Quoting",TRUE,FALSE)</formula>
    </cfRule>
    <cfRule type="expression" dxfId="12338" priority="26243">
      <formula>IF($B30="Quoting",TRUE,FALSE)</formula>
    </cfRule>
    <cfRule type="expression" dxfId="12337" priority="26244">
      <formula>IF($B30="Quoting",TRUE,FALSE)</formula>
    </cfRule>
    <cfRule type="expression" dxfId="12336" priority="26245">
      <formula>IF($B30="Quoting",TRUE,FALSE)</formula>
    </cfRule>
    <cfRule type="expression" dxfId="12335" priority="26246">
      <formula>IF($B30="Quoting",TRUE,FALSE)</formula>
    </cfRule>
    <cfRule type="expression" dxfId="12334" priority="26247">
      <formula>IF($B30="Quoting",TRUE,FALSE)</formula>
    </cfRule>
    <cfRule type="expression" dxfId="12333" priority="26248">
      <formula>IF($B30="Quoting",TRUE,FALSE)</formula>
    </cfRule>
    <cfRule type="expression" dxfId="12332" priority="26249">
      <formula>IF($B30="Quoting",TRUE,FALSE)</formula>
    </cfRule>
    <cfRule type="expression" dxfId="12331" priority="26250">
      <formula>IF($B30="Quoting",TRUE,FALSE)</formula>
    </cfRule>
    <cfRule type="expression" dxfId="12330" priority="26251">
      <formula>IF($B30="Quoting",TRUE,FALSE)</formula>
    </cfRule>
    <cfRule type="expression" dxfId="12329" priority="26252">
      <formula>IF($B30="Quoting",TRUE,FALSE)</formula>
    </cfRule>
    <cfRule type="expression" dxfId="12328" priority="26253">
      <formula>IF($B30="Quoting",TRUE,FALSE)</formula>
    </cfRule>
    <cfRule type="expression" dxfId="12327" priority="26254">
      <formula>IF($B30="Quoting",TRUE,FALSE)</formula>
    </cfRule>
    <cfRule type="expression" dxfId="12326" priority="26255">
      <formula>IF($B30="Quoting",TRUE,FALSE)</formula>
    </cfRule>
    <cfRule type="expression" dxfId="12325" priority="26256">
      <formula>IF($B30="Quoting",TRUE,FALSE)</formula>
    </cfRule>
    <cfRule type="expression" dxfId="12324" priority="26257">
      <formula>IF($B30="Quoting",TRUE,FALSE)</formula>
    </cfRule>
    <cfRule type="expression" dxfId="12323" priority="26258">
      <formula>IF($B30="Quoting",TRUE,FALSE)</formula>
    </cfRule>
    <cfRule type="expression" dxfId="12322" priority="26259">
      <formula>IF($B30="Quoting",TRUE,FALSE)</formula>
    </cfRule>
    <cfRule type="expression" dxfId="12321" priority="26260">
      <formula>IF($B30="Quoting",TRUE,FALSE)</formula>
    </cfRule>
    <cfRule type="expression" dxfId="12320" priority="26261">
      <formula>IF($B30="Quoting",TRUE,FALSE)</formula>
    </cfRule>
    <cfRule type="expression" dxfId="12319" priority="26262">
      <formula>IF($B30="Quoting",TRUE,FALSE)</formula>
    </cfRule>
    <cfRule type="expression" dxfId="12318" priority="26263">
      <formula>IF($B30="Quoting",TRUE,FALSE)</formula>
    </cfRule>
    <cfRule type="expression" dxfId="12317" priority="26264">
      <formula>IF($B30="Quoting",TRUE,FALSE)</formula>
    </cfRule>
    <cfRule type="expression" dxfId="12316" priority="26265">
      <formula>IF($B30="Quoting",TRUE,FALSE)</formula>
    </cfRule>
    <cfRule type="expression" dxfId="12315" priority="26266">
      <formula>IF($B30="VOID",TRUE,FALSE)</formula>
    </cfRule>
    <cfRule type="expression" dxfId="12314" priority="26267">
      <formula>IF($B30="VOID",TRUE,FALSE)</formula>
    </cfRule>
    <cfRule type="expression" dxfId="12313" priority="26268">
      <formula>IF($B30="VOID",TRUE,FALSE)</formula>
    </cfRule>
    <cfRule type="expression" dxfId="12312" priority="26269">
      <formula>IF($B30="VOID",TRUE,FALSE)</formula>
    </cfRule>
    <cfRule type="expression" dxfId="12311" priority="26270">
      <formula>IF($B30="VOID",TRUE,FALSE)</formula>
    </cfRule>
    <cfRule type="expression" dxfId="12310" priority="26271">
      <formula>IF($B30="VOID",TRUE,FALSE)</formula>
    </cfRule>
    <cfRule type="expression" dxfId="12309" priority="26272">
      <formula>IF($B30="VOID",TRUE,FALSE)</formula>
    </cfRule>
    <cfRule type="expression" dxfId="12308" priority="26273">
      <formula>IF($B30="VOID",TRUE,FALSE)</formula>
    </cfRule>
    <cfRule type="expression" dxfId="12307" priority="26274">
      <formula>IF($B30="VOID",TRUE,FALSE)</formula>
    </cfRule>
    <cfRule type="expression" dxfId="12306" priority="26275">
      <formula>IF($B30="VOID",TRUE,FALSE)</formula>
    </cfRule>
    <cfRule type="expression" dxfId="12305" priority="26276">
      <formula>IF($B30="VOID",TRUE,FALSE)</formula>
    </cfRule>
    <cfRule type="expression" dxfId="12304" priority="26277">
      <formula>IF($B30="VOID",TRUE,FALSE)</formula>
    </cfRule>
    <cfRule type="expression" dxfId="12303" priority="26278">
      <formula>IF($B30="VOID",TRUE,FALSE)</formula>
    </cfRule>
    <cfRule type="expression" dxfId="12302" priority="26279">
      <formula>IF($B30="Quoting",TRUE,FALSE)</formula>
    </cfRule>
    <cfRule type="expression" dxfId="12301" priority="26280">
      <formula>IF($B30="VOID",TRUE,FALSE)</formula>
    </cfRule>
    <cfRule type="expression" dxfId="12300" priority="26281">
      <formula>IF($B30="Quoting",TRUE,FALSE)</formula>
    </cfRule>
    <cfRule type="expression" dxfId="12299" priority="26282">
      <formula>IF($B30="VOID",TRUE,FALSE)</formula>
    </cfRule>
    <cfRule type="expression" dxfId="12298" priority="26283">
      <formula>IF($B30="Quoting",TRUE,FALSE)</formula>
    </cfRule>
    <cfRule type="expression" dxfId="12297" priority="26284">
      <formula>IF($B30="Quoting",TRUE,FALSE)</formula>
    </cfRule>
    <cfRule type="expression" dxfId="12296" priority="26285">
      <formula>IF($B30="VOID",TRUE,FALSE)</formula>
    </cfRule>
    <cfRule type="expression" dxfId="12295" priority="26286">
      <formula>IF($B30="Quoting",TRUE,FALSE)</formula>
    </cfRule>
    <cfRule type="expression" dxfId="12294" priority="26287">
      <formula>IF($B30="Quoting",TRUE,FALSE)</formula>
    </cfRule>
    <cfRule type="expression" dxfId="12293" priority="26288">
      <formula>IF($B30="VOID",TRUE,FALSE)</formula>
    </cfRule>
    <cfRule type="expression" dxfId="12292" priority="26289">
      <formula>IF($B30="VOID",TRUE,FALSE)</formula>
    </cfRule>
    <cfRule type="expression" dxfId="12291" priority="26290">
      <formula>IF($B30="VOID",TRUE,FALSE)</formula>
    </cfRule>
    <cfRule type="expression" dxfId="12290" priority="26291">
      <formula>IF($B30="VOID",TRUE,FALSE)</formula>
    </cfRule>
    <cfRule type="expression" dxfId="12289" priority="26292">
      <formula>IF($B30="VOID",TRUE,FALSE)</formula>
    </cfRule>
    <cfRule type="expression" dxfId="12288" priority="26293">
      <formula>IF($B30="Quoting",TRUE,FALSE)</formula>
    </cfRule>
    <cfRule type="expression" dxfId="12287" priority="26294">
      <formula>IF($B30="VOID",TRUE,FALSE)</formula>
    </cfRule>
    <cfRule type="expression" dxfId="12286" priority="26295">
      <formula>IF($B30="Quoting",TRUE,FALSE)</formula>
    </cfRule>
    <cfRule type="expression" dxfId="12285" priority="26296">
      <formula>IF($B30="VOID",TRUE,FALSE)</formula>
    </cfRule>
    <cfRule type="expression" dxfId="12284" priority="26297">
      <formula>IF($B30="Quoting",TRUE,FALSE)</formula>
    </cfRule>
    <cfRule type="expression" dxfId="12283" priority="26298">
      <formula>IF($B30="Quoting",TRUE,FALSE)</formula>
    </cfRule>
    <cfRule type="expression" dxfId="12282" priority="26299">
      <formula>IF($B30="VOID",TRUE,FALSE)</formula>
    </cfRule>
    <cfRule type="expression" dxfId="12281" priority="26300">
      <formula>IF($B30="Quoting",TRUE,FALSE)</formula>
    </cfRule>
    <cfRule type="expression" dxfId="12280" priority="26301">
      <formula>IF($B30="Quoting",TRUE,FALSE)</formula>
    </cfRule>
    <cfRule type="expression" dxfId="12279" priority="26302">
      <formula>IF($B30="Quoting",TRUE,FALSE)</formula>
    </cfRule>
    <cfRule type="expression" dxfId="12278" priority="26303">
      <formula>IF($B30="Quoting",TRUE,FALSE)</formula>
    </cfRule>
    <cfRule type="expression" dxfId="12277" priority="26304">
      <formula>IF($B30="Quoting",TRUE,FALSE)</formula>
    </cfRule>
    <cfRule type="expression" dxfId="12276" priority="26305">
      <formula>IF($B30="Quoting",TRUE,FALSE)</formula>
    </cfRule>
    <cfRule type="expression" dxfId="12275" priority="26306">
      <formula>IF($B30="Quoting",TRUE,FALSE)</formula>
    </cfRule>
    <cfRule type="expression" dxfId="12274" priority="26307">
      <formula>IF($B30="Quoting",TRUE,FALSE)</formula>
    </cfRule>
    <cfRule type="expression" dxfId="12273" priority="26308">
      <formula>IF($B30="Quoting",TRUE,FALSE)</formula>
    </cfRule>
    <cfRule type="expression" dxfId="12272" priority="26309">
      <formula>IF($B30="Quoting",TRUE,FALSE)</formula>
    </cfRule>
    <cfRule type="expression" dxfId="12271" priority="26310">
      <formula>IF($B30="Quoting",TRUE,FALSE)</formula>
    </cfRule>
    <cfRule type="expression" dxfId="12270" priority="26311">
      <formula>IF($B30="Quoting",TRUE,FALSE)</formula>
    </cfRule>
    <cfRule type="expression" dxfId="12269" priority="26312">
      <formula>IF($B30="Quoting",TRUE,FALSE)</formula>
    </cfRule>
    <cfRule type="expression" dxfId="12268" priority="26313">
      <formula>IF($B30="Quoting",TRUE,FALSE)</formula>
    </cfRule>
    <cfRule type="expression" dxfId="12267" priority="26314">
      <formula>IF($B30="Quoting",TRUE,FALSE)</formula>
    </cfRule>
    <cfRule type="expression" dxfId="12266" priority="26315">
      <formula>IF($B30="Quoting",TRUE,FALSE)</formula>
    </cfRule>
    <cfRule type="expression" dxfId="12265" priority="26316">
      <formula>IF($B30="Quoting",TRUE,FALSE)</formula>
    </cfRule>
    <cfRule type="expression" dxfId="12264" priority="26317">
      <formula>IF($B30="Quoting",TRUE,FALSE)</formula>
    </cfRule>
    <cfRule type="expression" dxfId="12263" priority="26318">
      <formula>IF($B30="Quoting",TRUE,FALSE)</formula>
    </cfRule>
    <cfRule type="expression" dxfId="12262" priority="26319">
      <formula>IF($B30="Quoting",TRUE,FALSE)</formula>
    </cfRule>
    <cfRule type="expression" dxfId="12261" priority="26320">
      <formula>IF($B30="Quoting",TRUE,FALSE)</formula>
    </cfRule>
    <cfRule type="expression" dxfId="12260" priority="26321">
      <formula>IF($B30="Quoting",TRUE,FALSE)</formula>
    </cfRule>
    <cfRule type="expression" dxfId="12259" priority="26322">
      <formula>IF($B30="Quoting",TRUE,FALSE)</formula>
    </cfRule>
    <cfRule type="expression" dxfId="12258" priority="26323">
      <formula>IF($B30="Quoting",TRUE,FALSE)</formula>
    </cfRule>
    <cfRule type="expression" dxfId="12257" priority="26324">
      <formula>IF($B30="Quoting",TRUE,FALSE)</formula>
    </cfRule>
    <cfRule type="expression" dxfId="12256" priority="26325">
      <formula>IF($B30="Quoting",TRUE,FALSE)</formula>
    </cfRule>
    <cfRule type="expression" dxfId="12255" priority="26326">
      <formula>IF($B30="Quoting",TRUE,FALSE)</formula>
    </cfRule>
    <cfRule type="expression" dxfId="12254" priority="26327">
      <formula>IF($B30="Quoting",TRUE,FALSE)</formula>
    </cfRule>
    <cfRule type="expression" dxfId="12253" priority="26328">
      <formula>IF($B30="Quoting",TRUE,FALSE)</formula>
    </cfRule>
    <cfRule type="expression" dxfId="12252" priority="26329">
      <formula>IF($B30="Quoting",TRUE,FALSE)</formula>
    </cfRule>
    <cfRule type="expression" dxfId="12251" priority="26330">
      <formula>IF($B30="Quoting",TRUE,FALSE)</formula>
    </cfRule>
    <cfRule type="expression" dxfId="12250" priority="26331">
      <formula>IF($B30="Quoting",TRUE,FALSE)</formula>
    </cfRule>
    <cfRule type="expression" dxfId="12249" priority="26332">
      <formula>IF($B30="Quoting",TRUE,FALSE)</formula>
    </cfRule>
    <cfRule type="expression" dxfId="12248" priority="26333">
      <formula>IF($B30="Quoting",TRUE,FALSE)</formula>
    </cfRule>
    <cfRule type="expression" dxfId="12247" priority="26334">
      <formula>IF($B30="Quoting",TRUE,FALSE)</formula>
    </cfRule>
    <cfRule type="expression" dxfId="12246" priority="26335">
      <formula>IF($B30="Quoting",TRUE,FALSE)</formula>
    </cfRule>
    <cfRule type="expression" dxfId="12245" priority="26336">
      <formula>IF($B30="Quoting",TRUE,FALSE)</formula>
    </cfRule>
    <cfRule type="expression" dxfId="12244" priority="26337">
      <formula>IF($B30="Quoting",TRUE,FALSE)</formula>
    </cfRule>
    <cfRule type="expression" dxfId="12243" priority="26338">
      <formula>IF($B30="Quoting",TRUE,FALSE)</formula>
    </cfRule>
    <cfRule type="expression" dxfId="12242" priority="26339">
      <formula>IF($B30="Quoting",TRUE,FALSE)</formula>
    </cfRule>
    <cfRule type="expression" dxfId="12241" priority="26340">
      <formula>IF($B30="Quoting",TRUE,FALSE)</formula>
    </cfRule>
    <cfRule type="expression" dxfId="12240" priority="26341">
      <formula>IF($B30="Quoting",TRUE,FALSE)</formula>
    </cfRule>
    <cfRule type="expression" dxfId="12239" priority="26342">
      <formula>IF($B30="Quoting",TRUE,FALSE)</formula>
    </cfRule>
    <cfRule type="expression" dxfId="12238" priority="26343">
      <formula>IF($B30="Quoting",TRUE,FALSE)</formula>
    </cfRule>
    <cfRule type="expression" dxfId="12237" priority="26344">
      <formula>IF($B30="Quoting",TRUE,FALSE)</formula>
    </cfRule>
    <cfRule type="expression" dxfId="12236" priority="26345">
      <formula>IF($B30="Quoting",TRUE,FALSE)</formula>
    </cfRule>
    <cfRule type="expression" dxfId="12235" priority="26346">
      <formula>IF($B30="Quoting",TRUE,FALSE)</formula>
    </cfRule>
    <cfRule type="expression" dxfId="12234" priority="26347">
      <formula>IF($B30="Quoting",TRUE,FALSE)</formula>
    </cfRule>
    <cfRule type="expression" dxfId="12233" priority="26348">
      <formula>IF($B30="Quoting",TRUE,FALSE)</formula>
    </cfRule>
    <cfRule type="expression" dxfId="12232" priority="26349">
      <formula>IF($B30="Quoting",TRUE,FALSE)</formula>
    </cfRule>
    <cfRule type="expression" dxfId="12231" priority="26350">
      <formula>IF($B30="Quoting",TRUE,FALSE)</formula>
    </cfRule>
    <cfRule type="expression" dxfId="12230" priority="26351">
      <formula>IF($B30="Quoting",TRUE,FALSE)</formula>
    </cfRule>
    <cfRule type="expression" dxfId="12229" priority="26352">
      <formula>IF($B30="Quoting",TRUE,FALSE)</formula>
    </cfRule>
    <cfRule type="expression" dxfId="12228" priority="26353">
      <formula>IF($B30="Quoting",TRUE,FALSE)</formula>
    </cfRule>
    <cfRule type="expression" dxfId="12227" priority="26354">
      <formula>IF($B30="Quoting",TRUE,FALSE)</formula>
    </cfRule>
    <cfRule type="expression" dxfId="12226" priority="26355">
      <formula>IF($B30="Quoting",TRUE,FALSE)</formula>
    </cfRule>
    <cfRule type="expression" dxfId="12225" priority="26356">
      <formula>IF($B30="Quoting",TRUE,FALSE)</formula>
    </cfRule>
    <cfRule type="expression" dxfId="12224" priority="26357">
      <formula>IF($B30="Quoting",TRUE,FALSE)</formula>
    </cfRule>
    <cfRule type="expression" dxfId="12223" priority="26358">
      <formula>IF($B30="Quoting",TRUE,FALSE)</formula>
    </cfRule>
    <cfRule type="expression" dxfId="12222" priority="26359">
      <formula>IF($B30="Quoting",TRUE,FALSE)</formula>
    </cfRule>
    <cfRule type="expression" dxfId="12221" priority="26360">
      <formula>IF($B30="Quoting",TRUE,FALSE)</formula>
    </cfRule>
    <cfRule type="expression" dxfId="12220" priority="26361">
      <formula>IF($B30="Quoting",TRUE,FALSE)</formula>
    </cfRule>
    <cfRule type="expression" dxfId="12219" priority="26362">
      <formula>IF($B30="Quoting",TRUE,FALSE)</formula>
    </cfRule>
    <cfRule type="expression" dxfId="12218" priority="26363">
      <formula>IF($B30="Quoting",TRUE,FALSE)</formula>
    </cfRule>
    <cfRule type="expression" dxfId="12217" priority="26364">
      <formula>IF($B30="Quoting",TRUE,FALSE)</formula>
    </cfRule>
    <cfRule type="expression" dxfId="12216" priority="26365">
      <formula>IF($B30="Quoting",TRUE,FALSE)</formula>
    </cfRule>
    <cfRule type="expression" dxfId="12215" priority="26366">
      <formula>IF($B30="Quoting",TRUE,FALSE)</formula>
    </cfRule>
    <cfRule type="expression" dxfId="12214" priority="26367">
      <formula>IF($B30="Quoting",TRUE,FALSE)</formula>
    </cfRule>
    <cfRule type="expression" dxfId="12213" priority="26368">
      <formula>IF($B30="Quoting",TRUE,FALSE)</formula>
    </cfRule>
    <cfRule type="expression" dxfId="12212" priority="26369">
      <formula>IF($B30="Quoting",TRUE,FALSE)</formula>
    </cfRule>
    <cfRule type="expression" dxfId="12211" priority="26370">
      <formula>IF($B30="Quoting",TRUE,FALSE)</formula>
    </cfRule>
    <cfRule type="expression" dxfId="12210" priority="26719">
      <formula>IF($B30="Quoting",TRUE,FALSE)</formula>
    </cfRule>
  </conditionalFormatting>
  <conditionalFormatting sqref="G31">
    <cfRule type="expression" dxfId="12209" priority="24058">
      <formula>IF($B31="VOID",TRUE,FALSE)</formula>
    </cfRule>
    <cfRule type="expression" dxfId="12208" priority="24059">
      <formula>IF($B31="VOID",TRUE,FALSE)</formula>
    </cfRule>
    <cfRule type="expression" dxfId="12207" priority="24060">
      <formula>IF($B31="Quoting",TRUE,FALSE)</formula>
    </cfRule>
    <cfRule type="expression" dxfId="12206" priority="24061">
      <formula>IF($B31="Quoting",TRUE,FALSE)</formula>
    </cfRule>
    <cfRule type="expression" dxfId="12205" priority="24062">
      <formula>IF($B31="Quoting",TRUE,FALSE)</formula>
    </cfRule>
    <cfRule type="expression" dxfId="12204" priority="24063">
      <formula>IF($B31="Quoting",TRUE,FALSE)</formula>
    </cfRule>
    <cfRule type="expression" dxfId="12203" priority="24064">
      <formula>IF($B31="Quoting",TRUE,FALSE)</formula>
    </cfRule>
    <cfRule type="expression" dxfId="12202" priority="24065">
      <formula>IF($B31="Quoting",TRUE,FALSE)</formula>
    </cfRule>
    <cfRule type="expression" dxfId="12201" priority="24066">
      <formula>IF($B31="Quoting",TRUE,FALSE)</formula>
    </cfRule>
    <cfRule type="expression" dxfId="12200" priority="24067">
      <formula>IF($B31="Quoting",TRUE,FALSE)</formula>
    </cfRule>
    <cfRule type="expression" dxfId="12199" priority="24068">
      <formula>IF($B31="Quoting",TRUE,FALSE)</formula>
    </cfRule>
    <cfRule type="expression" dxfId="12198" priority="24069">
      <formula>IF($B31="Quoting",TRUE,FALSE)</formula>
    </cfRule>
    <cfRule type="expression" dxfId="12197" priority="24070">
      <formula>IF($B31="Quoting",TRUE,FALSE)</formula>
    </cfRule>
    <cfRule type="expression" dxfId="12196" priority="24071">
      <formula>IF($B31="Quoting",TRUE,FALSE)</formula>
    </cfRule>
    <cfRule type="expression" dxfId="12195" priority="24072">
      <formula>IF($B31="Quoting",TRUE,FALSE)</formula>
    </cfRule>
    <cfRule type="expression" dxfId="12194" priority="24073">
      <formula>IF($B31="Quoting",TRUE,FALSE)</formula>
    </cfRule>
    <cfRule type="expression" dxfId="12193" priority="24074">
      <formula>IF($B31="Quoting",TRUE,FALSE)</formula>
    </cfRule>
    <cfRule type="expression" dxfId="12192" priority="24075">
      <formula>IF($B31="Quoting",TRUE,FALSE)</formula>
    </cfRule>
    <cfRule type="expression" dxfId="12191" priority="24076">
      <formula>IF($B31="Quoting",TRUE,FALSE)</formula>
    </cfRule>
    <cfRule type="expression" dxfId="12190" priority="24077">
      <formula>IF($B31="Quoting",TRUE,FALSE)</formula>
    </cfRule>
    <cfRule type="expression" dxfId="12189" priority="24078">
      <formula>IF($B31="Quoting",TRUE,FALSE)</formula>
    </cfRule>
    <cfRule type="expression" dxfId="12188" priority="24079">
      <formula>IF($B31="Quoting",TRUE,FALSE)</formula>
    </cfRule>
    <cfRule type="expression" dxfId="12187" priority="24080">
      <formula>IF($B31="Quoting",TRUE,FALSE)</formula>
    </cfRule>
    <cfRule type="expression" dxfId="12186" priority="24081">
      <formula>IF($B31="Quoting",TRUE,FALSE)</formula>
    </cfRule>
    <cfRule type="expression" dxfId="12185" priority="24082">
      <formula>IF($B31="Quoting",TRUE,FALSE)</formula>
    </cfRule>
    <cfRule type="expression" dxfId="12184" priority="24083">
      <formula>IF($B31="Quoting",TRUE,FALSE)</formula>
    </cfRule>
    <cfRule type="expression" dxfId="12183" priority="24084">
      <formula>IF($B31="Quoting",TRUE,FALSE)</formula>
    </cfRule>
    <cfRule type="expression" dxfId="12182" priority="24085">
      <formula>IF($B31="Quoting",TRUE,FALSE)</formula>
    </cfRule>
    <cfRule type="expression" dxfId="12181" priority="24086">
      <formula>IF($B31="Quoting",TRUE,FALSE)</formula>
    </cfRule>
    <cfRule type="expression" dxfId="12180" priority="24087">
      <formula>IF($B31="Quoting",TRUE,FALSE)</formula>
    </cfRule>
    <cfRule type="expression" dxfId="12179" priority="24088">
      <formula>IF($B31="Quoting",TRUE,FALSE)</formula>
    </cfRule>
    <cfRule type="expression" dxfId="12178" priority="24089">
      <formula>IF($B31="Quoting",TRUE,FALSE)</formula>
    </cfRule>
    <cfRule type="expression" dxfId="12177" priority="24090">
      <formula>IF($B31="Quoting",TRUE,FALSE)</formula>
    </cfRule>
    <cfRule type="expression" dxfId="12176" priority="24091">
      <formula>IF($B31="Quoting",TRUE,FALSE)</formula>
    </cfRule>
    <cfRule type="expression" dxfId="12175" priority="24092">
      <formula>IF($B31="Quoting",TRUE,FALSE)</formula>
    </cfRule>
    <cfRule type="expression" dxfId="12174" priority="24093">
      <formula>IF($B31="Quoting",TRUE,FALSE)</formula>
    </cfRule>
    <cfRule type="expression" dxfId="12173" priority="24094">
      <formula>IF($B31="Quoting",TRUE,FALSE)</formula>
    </cfRule>
    <cfRule type="expression" dxfId="12172" priority="24095">
      <formula>IF($B31="Quoting",TRUE,FALSE)</formula>
    </cfRule>
    <cfRule type="expression" dxfId="12171" priority="24096">
      <formula>IF($B31="Quoting",TRUE,FALSE)</formula>
    </cfRule>
    <cfRule type="expression" dxfId="12170" priority="24097">
      <formula>IF($B31="Quoting",TRUE,FALSE)</formula>
    </cfRule>
    <cfRule type="expression" dxfId="12169" priority="24098">
      <formula>IF($B31="Quoting",TRUE,FALSE)</formula>
    </cfRule>
    <cfRule type="expression" dxfId="12168" priority="24099">
      <formula>IF($B31="Quoting",TRUE,FALSE)</formula>
    </cfRule>
    <cfRule type="expression" dxfId="12167" priority="24100">
      <formula>IF($B31="Quoting",TRUE,FALSE)</formula>
    </cfRule>
    <cfRule type="expression" dxfId="12166" priority="24101">
      <formula>IF($B31="Quoting",TRUE,FALSE)</formula>
    </cfRule>
    <cfRule type="expression" dxfId="12165" priority="24102">
      <formula>IF($B31="Quoting",TRUE,FALSE)</formula>
    </cfRule>
    <cfRule type="expression" dxfId="12164" priority="24103">
      <formula>IF($B31="Quoting",TRUE,FALSE)</formula>
    </cfRule>
    <cfRule type="expression" dxfId="12163" priority="24104">
      <formula>IF($B31="Quoting",TRUE,FALSE)</formula>
    </cfRule>
    <cfRule type="expression" dxfId="12162" priority="24105">
      <formula>IF($B31="Quoting",TRUE,FALSE)</formula>
    </cfRule>
    <cfRule type="expression" dxfId="12161" priority="24106">
      <formula>IF($B31="Quoting",TRUE,FALSE)</formula>
    </cfRule>
    <cfRule type="expression" dxfId="12160" priority="24107">
      <formula>IF($B31="Quoting",TRUE,FALSE)</formula>
    </cfRule>
    <cfRule type="expression" dxfId="12159" priority="24108">
      <formula>IF($B31="Quoting",TRUE,FALSE)</formula>
    </cfRule>
    <cfRule type="expression" dxfId="12158" priority="24109">
      <formula>IF($B31="Quoting",TRUE,FALSE)</formula>
    </cfRule>
    <cfRule type="expression" dxfId="12157" priority="24110">
      <formula>IF($B31="Quoting",TRUE,FALSE)</formula>
    </cfRule>
    <cfRule type="expression" dxfId="12156" priority="24111">
      <formula>IF($B31="Quoting",TRUE,FALSE)</formula>
    </cfRule>
    <cfRule type="expression" dxfId="12155" priority="24112">
      <formula>IF($B31="Quoting",TRUE,FALSE)</formula>
    </cfRule>
    <cfRule type="expression" dxfId="12154" priority="24113">
      <formula>IF($B31="Quoting",TRUE,FALSE)</formula>
    </cfRule>
    <cfRule type="expression" dxfId="12153" priority="24114">
      <formula>IF($B31="Quoting",TRUE,FALSE)</formula>
    </cfRule>
    <cfRule type="expression" dxfId="12152" priority="24115">
      <formula>IF($B31="Quoting",TRUE,FALSE)</formula>
    </cfRule>
    <cfRule type="expression" dxfId="12151" priority="24116">
      <formula>IF($B31="Quoting",TRUE,FALSE)</formula>
    </cfRule>
    <cfRule type="expression" dxfId="12150" priority="24117">
      <formula>IF($B31="Quoting",TRUE,FALSE)</formula>
    </cfRule>
    <cfRule type="expression" dxfId="12149" priority="24118">
      <formula>IF($B31="Quoting",TRUE,FALSE)</formula>
    </cfRule>
    <cfRule type="expression" dxfId="12148" priority="24119">
      <formula>IF($B31="Quoting",TRUE,FALSE)</formula>
    </cfRule>
    <cfRule type="expression" dxfId="12147" priority="24120">
      <formula>IF($B31="Quoting",TRUE,FALSE)</formula>
    </cfRule>
    <cfRule type="expression" dxfId="12146" priority="24121">
      <formula>IF($B31="Quoting",TRUE,FALSE)</formula>
    </cfRule>
    <cfRule type="expression" dxfId="12145" priority="24122">
      <formula>IF($B31="Quoting",TRUE,FALSE)</formula>
    </cfRule>
    <cfRule type="expression" dxfId="12144" priority="24123">
      <formula>IF($B31="Quoting",TRUE,FALSE)</formula>
    </cfRule>
    <cfRule type="expression" dxfId="12143" priority="24124">
      <formula>IF($B31="Quoting",TRUE,FALSE)</formula>
    </cfRule>
    <cfRule type="expression" dxfId="12142" priority="24125">
      <formula>IF($B31="Quoting",TRUE,FALSE)</formula>
    </cfRule>
    <cfRule type="expression" dxfId="12141" priority="24126">
      <formula>IF($B31="Quoting",TRUE,FALSE)</formula>
    </cfRule>
    <cfRule type="expression" dxfId="12140" priority="24127">
      <formula>IF($B31="Quoting",TRUE,FALSE)</formula>
    </cfRule>
    <cfRule type="expression" dxfId="12139" priority="24128">
      <formula>IF($B31="Quoting",TRUE,FALSE)</formula>
    </cfRule>
    <cfRule type="expression" dxfId="12138" priority="24129">
      <formula>IF($B31="Quoting",TRUE,FALSE)</formula>
    </cfRule>
    <cfRule type="expression" dxfId="12137" priority="24130">
      <formula>IF($B31="Quoting",TRUE,FALSE)</formula>
    </cfRule>
    <cfRule type="expression" dxfId="12136" priority="24131">
      <formula>IF($B31="Quoting",TRUE,FALSE)</formula>
    </cfRule>
    <cfRule type="expression" dxfId="12135" priority="24132">
      <formula>IF($B31="Quoting",TRUE,FALSE)</formula>
    </cfRule>
    <cfRule type="expression" dxfId="12134" priority="24133">
      <formula>IF($B31="Quoting",TRUE,FALSE)</formula>
    </cfRule>
    <cfRule type="expression" dxfId="12133" priority="24134">
      <formula>IF($B31="Quoting",TRUE,FALSE)</formula>
    </cfRule>
    <cfRule type="expression" dxfId="12132" priority="24135">
      <formula>IF($B31="Quoting",TRUE,FALSE)</formula>
    </cfRule>
    <cfRule type="expression" dxfId="12131" priority="24136">
      <formula>IF($B31="Quoting",TRUE,FALSE)</formula>
    </cfRule>
    <cfRule type="expression" dxfId="12130" priority="24137">
      <formula>IF($B31="Quoting",TRUE,FALSE)</formula>
    </cfRule>
    <cfRule type="expression" dxfId="12129" priority="24138">
      <formula>IF($B31="Quoting",TRUE,FALSE)</formula>
    </cfRule>
    <cfRule type="expression" dxfId="12128" priority="24139">
      <formula>IF($B31="Quoting",TRUE,FALSE)</formula>
    </cfRule>
    <cfRule type="expression" dxfId="12127" priority="24140">
      <formula>IF($B31="Quoting",TRUE,FALSE)</formula>
    </cfRule>
    <cfRule type="expression" dxfId="12126" priority="24141">
      <formula>IF($B31="Quoting",TRUE,FALSE)</formula>
    </cfRule>
    <cfRule type="expression" dxfId="12125" priority="24142">
      <formula>IF($B31="Quoting",TRUE,FALSE)</formula>
    </cfRule>
    <cfRule type="expression" dxfId="12124" priority="24143">
      <formula>IF($B31="Quoting",TRUE,FALSE)</formula>
    </cfRule>
    <cfRule type="expression" dxfId="12123" priority="24144">
      <formula>IF($B31="Quoting",TRUE,FALSE)</formula>
    </cfRule>
    <cfRule type="expression" dxfId="12122" priority="24145">
      <formula>IF($B31="Quoting",TRUE,FALSE)</formula>
    </cfRule>
    <cfRule type="expression" dxfId="12121" priority="24146">
      <formula>IF($B31="Quoting",TRUE,FALSE)</formula>
    </cfRule>
    <cfRule type="expression" dxfId="12120" priority="24147">
      <formula>IF($B31="Quoting",TRUE,FALSE)</formula>
    </cfRule>
    <cfRule type="expression" dxfId="12119" priority="24148">
      <formula>IF($B31="Quoting",TRUE,FALSE)</formula>
    </cfRule>
    <cfRule type="expression" dxfId="12118" priority="24149">
      <formula>IF($B31="Quoting",TRUE,FALSE)</formula>
    </cfRule>
    <cfRule type="expression" dxfId="12117" priority="24150">
      <formula>IF($B31="Quoting",TRUE,FALSE)</formula>
    </cfRule>
    <cfRule type="expression" dxfId="12116" priority="24151">
      <formula>IF($B31="Quoting",TRUE,FALSE)</formula>
    </cfRule>
    <cfRule type="expression" dxfId="12115" priority="24152">
      <formula>IF($B31="Quoting",TRUE,FALSE)</formula>
    </cfRule>
    <cfRule type="expression" dxfId="12114" priority="24153">
      <formula>IF($B31="Quoting",TRUE,FALSE)</formula>
    </cfRule>
    <cfRule type="expression" dxfId="12113" priority="24154">
      <formula>IF($B31="Quoting",TRUE,FALSE)</formula>
    </cfRule>
    <cfRule type="expression" dxfId="12112" priority="24155">
      <formula>IF($B31="Quoting",TRUE,FALSE)</formula>
    </cfRule>
    <cfRule type="expression" dxfId="12111" priority="24156">
      <formula>IF($B31="Quoting",TRUE,FALSE)</formula>
    </cfRule>
    <cfRule type="expression" dxfId="12110" priority="24157">
      <formula>IF($B31="Quoting",TRUE,FALSE)</formula>
    </cfRule>
    <cfRule type="expression" dxfId="12109" priority="24158">
      <formula>IF($B31="Quoting",TRUE,FALSE)</formula>
    </cfRule>
    <cfRule type="expression" dxfId="12108" priority="24159">
      <formula>IF($B31="Quoting",TRUE,FALSE)</formula>
    </cfRule>
    <cfRule type="expression" dxfId="12107" priority="24160">
      <formula>IF($B31="Quoting",TRUE,FALSE)</formula>
    </cfRule>
    <cfRule type="expression" dxfId="12106" priority="24161">
      <formula>IF($B31="Quoting",TRUE,FALSE)</formula>
    </cfRule>
    <cfRule type="expression" dxfId="12105" priority="24162">
      <formula>IF($B31="Quoting",TRUE,FALSE)</formula>
    </cfRule>
    <cfRule type="expression" dxfId="12104" priority="24163">
      <formula>IF($B31="Quoting",TRUE,FALSE)</formula>
    </cfRule>
    <cfRule type="expression" dxfId="12103" priority="24164">
      <formula>IF($B31="Quoting",TRUE,FALSE)</formula>
    </cfRule>
    <cfRule type="expression" dxfId="12102" priority="24165">
      <formula>IF($B31="Quoting",TRUE,FALSE)</formula>
    </cfRule>
    <cfRule type="expression" dxfId="12101" priority="24166">
      <formula>IF($B31="Quoting",TRUE,FALSE)</formula>
    </cfRule>
    <cfRule type="expression" dxfId="12100" priority="24167">
      <formula>IF($B31="Quoting",TRUE,FALSE)</formula>
    </cfRule>
    <cfRule type="expression" dxfId="12099" priority="24168">
      <formula>IF($B31="Quoting",TRUE,FALSE)</formula>
    </cfRule>
    <cfRule type="expression" dxfId="12098" priority="24169">
      <formula>IF($B31="Quoting",TRUE,FALSE)</formula>
    </cfRule>
    <cfRule type="expression" dxfId="12097" priority="24170">
      <formula>IF($B31="Quoting",TRUE,FALSE)</formula>
    </cfRule>
    <cfRule type="expression" dxfId="12096" priority="24171">
      <formula>IF($B31="Quoting",TRUE,FALSE)</formula>
    </cfRule>
    <cfRule type="expression" dxfId="12095" priority="24172">
      <formula>IF($B31="Quoting",TRUE,FALSE)</formula>
    </cfRule>
    <cfRule type="expression" dxfId="12094" priority="24173">
      <formula>IF($B31="Quoting",TRUE,FALSE)</formula>
    </cfRule>
    <cfRule type="expression" dxfId="12093" priority="24174">
      <formula>IF($B31="Quoting",TRUE,FALSE)</formula>
    </cfRule>
    <cfRule type="expression" dxfId="12092" priority="24175">
      <formula>IF($B31="Quoting",TRUE,FALSE)</formula>
    </cfRule>
    <cfRule type="expression" dxfId="12091" priority="24176">
      <formula>IF($B31="Quoting",TRUE,FALSE)</formula>
    </cfRule>
    <cfRule type="expression" dxfId="12090" priority="24177">
      <formula>IF($B31="Quoting",TRUE,FALSE)</formula>
    </cfRule>
    <cfRule type="expression" dxfId="12089" priority="24178">
      <formula>IF($B31="Quoting",TRUE,FALSE)</formula>
    </cfRule>
    <cfRule type="expression" dxfId="12088" priority="24179">
      <formula>IF($B31="Quoting",TRUE,FALSE)</formula>
    </cfRule>
    <cfRule type="expression" dxfId="12087" priority="24180">
      <formula>IF($B31="Quoting",TRUE,FALSE)</formula>
    </cfRule>
    <cfRule type="expression" dxfId="12086" priority="24181">
      <formula>IF($B31="Quoting",TRUE,FALSE)</formula>
    </cfRule>
    <cfRule type="expression" dxfId="12085" priority="24182">
      <formula>IF($B31="Quoting",TRUE,FALSE)</formula>
    </cfRule>
    <cfRule type="expression" dxfId="12084" priority="24183">
      <formula>IF($B31="Quoting",TRUE,FALSE)</formula>
    </cfRule>
    <cfRule type="expression" dxfId="12083" priority="24184">
      <formula>IF($B31="Quoting",TRUE,FALSE)</formula>
    </cfRule>
    <cfRule type="expression" dxfId="12082" priority="24185">
      <formula>IF($B31="Quoting",TRUE,FALSE)</formula>
    </cfRule>
    <cfRule type="expression" dxfId="12081" priority="24186">
      <formula>IF($B31="Quoting",TRUE,FALSE)</formula>
    </cfRule>
    <cfRule type="expression" dxfId="12080" priority="24187">
      <formula>IF($B31="Quoting",TRUE,FALSE)</formula>
    </cfRule>
    <cfRule type="expression" dxfId="12079" priority="24188">
      <formula>IF($B31="Quoting",TRUE,FALSE)</formula>
    </cfRule>
    <cfRule type="expression" dxfId="12078" priority="24189">
      <formula>IF($B31="Quoting",TRUE,FALSE)</formula>
    </cfRule>
    <cfRule type="expression" dxfId="12077" priority="24190">
      <formula>IF($B31="Quoting",TRUE,FALSE)</formula>
    </cfRule>
    <cfRule type="expression" dxfId="12076" priority="24191">
      <formula>IF($B31="Quoting",TRUE,FALSE)</formula>
    </cfRule>
    <cfRule type="expression" dxfId="12075" priority="24192">
      <formula>IF($B31="Quoting",TRUE,FALSE)</formula>
    </cfRule>
    <cfRule type="expression" dxfId="12074" priority="24193">
      <formula>IF($B31="Quoting",TRUE,FALSE)</formula>
    </cfRule>
    <cfRule type="expression" dxfId="12073" priority="24194">
      <formula>IF($B31="Quoting",TRUE,FALSE)</formula>
    </cfRule>
    <cfRule type="expression" dxfId="12072" priority="24195">
      <formula>IF($B31="Quoting",TRUE,FALSE)</formula>
    </cfRule>
    <cfRule type="expression" dxfId="12071" priority="24196">
      <formula>IF($B31="Quoting",TRUE,FALSE)</formula>
    </cfRule>
    <cfRule type="expression" dxfId="12070" priority="24197">
      <formula>IF($B31="Quoting",TRUE,FALSE)</formula>
    </cfRule>
    <cfRule type="expression" dxfId="12069" priority="24198">
      <formula>IF($B31="Quoting",TRUE,FALSE)</formula>
    </cfRule>
    <cfRule type="expression" dxfId="12068" priority="24199">
      <formula>IF($B31="Quoting",TRUE,FALSE)</formula>
    </cfRule>
    <cfRule type="expression" dxfId="12067" priority="24200">
      <formula>IF($B31="Quoting",TRUE,FALSE)</formula>
    </cfRule>
    <cfRule type="expression" dxfId="12066" priority="24201">
      <formula>IF($B31="Quoting",TRUE,FALSE)</formula>
    </cfRule>
    <cfRule type="expression" dxfId="12065" priority="24202">
      <formula>IF($B31="Quoting",TRUE,FALSE)</formula>
    </cfRule>
    <cfRule type="expression" dxfId="12064" priority="24203">
      <formula>IF($B31="Quoting",TRUE,FALSE)</formula>
    </cfRule>
    <cfRule type="expression" dxfId="12063" priority="24204">
      <formula>IF($B31="Quoting",TRUE,FALSE)</formula>
    </cfRule>
    <cfRule type="expression" dxfId="12062" priority="24205">
      <formula>IF($B31="Quoting",TRUE,FALSE)</formula>
    </cfRule>
    <cfRule type="expression" dxfId="12061" priority="24206">
      <formula>IF($B31="Quoting",TRUE,FALSE)</formula>
    </cfRule>
    <cfRule type="expression" dxfId="12060" priority="24207">
      <formula>IF($B31="Quoting",TRUE,FALSE)</formula>
    </cfRule>
    <cfRule type="expression" dxfId="12059" priority="24208">
      <formula>IF($B31="Quoting",TRUE,FALSE)</formula>
    </cfRule>
    <cfRule type="expression" dxfId="12058" priority="24209">
      <formula>IF($B31="Quoting",TRUE,FALSE)</formula>
    </cfRule>
    <cfRule type="expression" dxfId="12057" priority="24210">
      <formula>IF($B31="Quoting",TRUE,FALSE)</formula>
    </cfRule>
    <cfRule type="expression" dxfId="12056" priority="24211">
      <formula>IF($B31="Quoting",TRUE,FALSE)</formula>
    </cfRule>
    <cfRule type="expression" dxfId="12055" priority="24212">
      <formula>IF($B31="Quoting",TRUE,FALSE)</formula>
    </cfRule>
    <cfRule type="expression" dxfId="12054" priority="24213">
      <formula>IF($B31="Quoting",TRUE,FALSE)</formula>
    </cfRule>
    <cfRule type="expression" dxfId="12053" priority="24214">
      <formula>IF($B31="Quoting",TRUE,FALSE)</formula>
    </cfRule>
    <cfRule type="expression" dxfId="12052" priority="24215">
      <formula>IF($B31="Quoting",TRUE,FALSE)</formula>
    </cfRule>
    <cfRule type="expression" dxfId="12051" priority="24216">
      <formula>IF($B31="Quoting",TRUE,FALSE)</formula>
    </cfRule>
    <cfRule type="expression" dxfId="12050" priority="24217">
      <formula>IF($B31="Quoting",TRUE,FALSE)</formula>
    </cfRule>
    <cfRule type="expression" dxfId="12049" priority="24218">
      <formula>IF($B31="Quoting",TRUE,FALSE)</formula>
    </cfRule>
    <cfRule type="expression" dxfId="12048" priority="24219">
      <formula>IF($B31="Quoting",TRUE,FALSE)</formula>
    </cfRule>
    <cfRule type="expression" dxfId="12047" priority="24220">
      <formula>IF($B31="Quoting",TRUE,FALSE)</formula>
    </cfRule>
    <cfRule type="expression" dxfId="12046" priority="24221">
      <formula>IF($B31="Quoting",TRUE,FALSE)</formula>
    </cfRule>
    <cfRule type="expression" dxfId="12045" priority="24222">
      <formula>IF($B31="Quoting",TRUE,FALSE)</formula>
    </cfRule>
    <cfRule type="expression" dxfId="12044" priority="24223">
      <formula>IF($B31="Quoting",TRUE,FALSE)</formula>
    </cfRule>
    <cfRule type="expression" dxfId="12043" priority="24224">
      <formula>IF($B31="Quoting",TRUE,FALSE)</formula>
    </cfRule>
    <cfRule type="expression" dxfId="12042" priority="24225">
      <formula>IF($B31="Quoting",TRUE,FALSE)</formula>
    </cfRule>
    <cfRule type="expression" dxfId="12041" priority="24226">
      <formula>IF($B31="Quoting",TRUE,FALSE)</formula>
    </cfRule>
    <cfRule type="expression" dxfId="12040" priority="24227">
      <formula>IF($B31="Quoting",TRUE,FALSE)</formula>
    </cfRule>
    <cfRule type="expression" dxfId="12039" priority="24228">
      <formula>IF($B31="Quoting",TRUE,FALSE)</formula>
    </cfRule>
    <cfRule type="expression" dxfId="12038" priority="24229">
      <formula>IF($B31="Quoting",TRUE,FALSE)</formula>
    </cfRule>
    <cfRule type="expression" dxfId="12037" priority="24230">
      <formula>IF($B31="Quoting",TRUE,FALSE)</formula>
    </cfRule>
    <cfRule type="expression" dxfId="12036" priority="24231">
      <formula>IF($B31="Quoting",TRUE,FALSE)</formula>
    </cfRule>
    <cfRule type="expression" dxfId="12035" priority="24232">
      <formula>IF($B31="Quoting",TRUE,FALSE)</formula>
    </cfRule>
    <cfRule type="expression" dxfId="12034" priority="24233">
      <formula>IF($B31="Quoting",TRUE,FALSE)</formula>
    </cfRule>
    <cfRule type="expression" dxfId="12033" priority="24234">
      <formula>IF($B31="Quoting",TRUE,FALSE)</formula>
    </cfRule>
    <cfRule type="expression" dxfId="12032" priority="24235">
      <formula>IF($B31="Quoting",TRUE,FALSE)</formula>
    </cfRule>
    <cfRule type="expression" dxfId="12031" priority="24236">
      <formula>IF($B31="Quoting",TRUE,FALSE)</formula>
    </cfRule>
    <cfRule type="expression" dxfId="12030" priority="24237">
      <formula>IF($B31="Quoting",TRUE,FALSE)</formula>
    </cfRule>
    <cfRule type="expression" dxfId="12029" priority="24238">
      <formula>IF($B31="Quoting",TRUE,FALSE)</formula>
    </cfRule>
    <cfRule type="expression" dxfId="12028" priority="24239">
      <formula>IF($B31="Quoting",TRUE,FALSE)</formula>
    </cfRule>
    <cfRule type="expression" dxfId="12027" priority="24240">
      <formula>IF($B31="Quoting",TRUE,FALSE)</formula>
    </cfRule>
    <cfRule type="expression" dxfId="12026" priority="24241">
      <formula>IF($B31="Quoting",TRUE,FALSE)</formula>
    </cfRule>
    <cfRule type="expression" dxfId="12025" priority="24242">
      <formula>IF($B31="Quoting",TRUE,FALSE)</formula>
    </cfRule>
    <cfRule type="expression" dxfId="12024" priority="24243">
      <formula>IF($B31="Quoting",TRUE,FALSE)</formula>
    </cfRule>
    <cfRule type="expression" dxfId="12023" priority="24244">
      <formula>IF($B31="Quoting",TRUE,FALSE)</formula>
    </cfRule>
    <cfRule type="expression" dxfId="12022" priority="24245">
      <formula>IF($B31="Quoting",TRUE,FALSE)</formula>
    </cfRule>
    <cfRule type="expression" dxfId="12021" priority="24246">
      <formula>IF($B31="Quoting",TRUE,FALSE)</formula>
    </cfRule>
    <cfRule type="expression" dxfId="12020" priority="24247">
      <formula>IF($B31="Quoting",TRUE,FALSE)</formula>
    </cfRule>
    <cfRule type="expression" dxfId="12019" priority="24248">
      <formula>IF($B31="Quoting",TRUE,FALSE)</formula>
    </cfRule>
    <cfRule type="expression" dxfId="12018" priority="24249">
      <formula>IF($B31="Quoting",TRUE,FALSE)</formula>
    </cfRule>
    <cfRule type="expression" dxfId="12017" priority="24250">
      <formula>IF($B31="Quoting",TRUE,FALSE)</formula>
    </cfRule>
    <cfRule type="expression" dxfId="12016" priority="24251">
      <formula>IF($B31="Quoting",TRUE,FALSE)</formula>
    </cfRule>
    <cfRule type="expression" dxfId="12015" priority="24252">
      <formula>IF($B31="Quoting",TRUE,FALSE)</formula>
    </cfRule>
    <cfRule type="expression" dxfId="12014" priority="24253">
      <formula>IF($B31="Quoting",TRUE,FALSE)</formula>
    </cfRule>
    <cfRule type="expression" dxfId="12013" priority="24254">
      <formula>IF($B31="Quoting",TRUE,FALSE)</formula>
    </cfRule>
    <cfRule type="expression" dxfId="12012" priority="24255">
      <formula>IF($B31="Quoting",TRUE,FALSE)</formula>
    </cfRule>
    <cfRule type="expression" dxfId="12011" priority="24256">
      <formula>IF($B31="Quoting",TRUE,FALSE)</formula>
    </cfRule>
    <cfRule type="expression" dxfId="12010" priority="24257">
      <formula>IF($B31="Quoting",TRUE,FALSE)</formula>
    </cfRule>
    <cfRule type="expression" dxfId="12009" priority="24258">
      <formula>IF($B31="Quoting",TRUE,FALSE)</formula>
    </cfRule>
    <cfRule type="expression" dxfId="12008" priority="24259">
      <formula>IF($B31="Quoting",TRUE,FALSE)</formula>
    </cfRule>
    <cfRule type="expression" dxfId="12007" priority="24260">
      <formula>IF($B31="Quoting",TRUE,FALSE)</formula>
    </cfRule>
    <cfRule type="expression" dxfId="12006" priority="24261">
      <formula>IF($B31="Quoting",TRUE,FALSE)</formula>
    </cfRule>
    <cfRule type="expression" dxfId="12005" priority="24262">
      <formula>IF($B31="Quoting",TRUE,FALSE)</formula>
    </cfRule>
    <cfRule type="expression" dxfId="12004" priority="24263">
      <formula>IF($B31="Quoting",TRUE,FALSE)</formula>
    </cfRule>
    <cfRule type="expression" dxfId="12003" priority="24264">
      <formula>IF($B31="Quoting",TRUE,FALSE)</formula>
    </cfRule>
    <cfRule type="expression" dxfId="12002" priority="24265">
      <formula>IF($B31="Quoting",TRUE,FALSE)</formula>
    </cfRule>
    <cfRule type="expression" dxfId="12001" priority="24266">
      <formula>IF($B31="Quoting",TRUE,FALSE)</formula>
    </cfRule>
    <cfRule type="expression" dxfId="12000" priority="24267">
      <formula>IF($B31="Quoting",TRUE,FALSE)</formula>
    </cfRule>
    <cfRule type="expression" dxfId="11999" priority="24268">
      <formula>IF($B31="Quoting",TRUE,FALSE)</formula>
    </cfRule>
    <cfRule type="expression" dxfId="11998" priority="24269">
      <formula>IF($B31="Quoting",TRUE,FALSE)</formula>
    </cfRule>
    <cfRule type="expression" dxfId="11997" priority="24270">
      <formula>IF($B31="Quoting",TRUE,FALSE)</formula>
    </cfRule>
    <cfRule type="expression" dxfId="11996" priority="24271">
      <formula>IF($B31="Quoting",TRUE,FALSE)</formula>
    </cfRule>
    <cfRule type="expression" dxfId="11995" priority="24272">
      <formula>IF($B31="Quoting",TRUE,FALSE)</formula>
    </cfRule>
    <cfRule type="expression" dxfId="11994" priority="24273">
      <formula>IF($B31="Quoting",TRUE,FALSE)</formula>
    </cfRule>
    <cfRule type="expression" dxfId="11993" priority="24274">
      <formula>IF($B31="Quoting",TRUE,FALSE)</formula>
    </cfRule>
    <cfRule type="expression" dxfId="11992" priority="24275">
      <formula>IF($B31="Quoting",TRUE,FALSE)</formula>
    </cfRule>
    <cfRule type="expression" dxfId="11991" priority="24276">
      <formula>IF($B31="Quoting",TRUE,FALSE)</formula>
    </cfRule>
    <cfRule type="expression" dxfId="11990" priority="24277">
      <formula>IF($B31="Quoting",TRUE,FALSE)</formula>
    </cfRule>
    <cfRule type="expression" dxfId="11989" priority="24278">
      <formula>IF($B31="Quoting",TRUE,FALSE)</formula>
    </cfRule>
    <cfRule type="expression" dxfId="11988" priority="24279">
      <formula>IF($B31="Quoting",TRUE,FALSE)</formula>
    </cfRule>
    <cfRule type="expression" dxfId="11987" priority="24280">
      <formula>IF($B31="Quoting",TRUE,FALSE)</formula>
    </cfRule>
    <cfRule type="expression" dxfId="11986" priority="24281">
      <formula>IF($B31="Quoting",TRUE,FALSE)</formula>
    </cfRule>
    <cfRule type="expression" dxfId="11985" priority="24282">
      <formula>IF($B31="Quoting",TRUE,FALSE)</formula>
    </cfRule>
    <cfRule type="expression" dxfId="11984" priority="24283">
      <formula>IF($B31="Quoting",TRUE,FALSE)</formula>
    </cfRule>
    <cfRule type="expression" dxfId="11983" priority="24284">
      <formula>IF($B31="Quoting",TRUE,FALSE)</formula>
    </cfRule>
    <cfRule type="expression" dxfId="11982" priority="24285">
      <formula>IF($B31="Quoting",TRUE,FALSE)</formula>
    </cfRule>
    <cfRule type="expression" dxfId="11981" priority="24286">
      <formula>IF($B31="Quoting",TRUE,FALSE)</formula>
    </cfRule>
    <cfRule type="expression" dxfId="11980" priority="24287">
      <formula>IF($B31="Quoting",TRUE,FALSE)</formula>
    </cfRule>
    <cfRule type="expression" dxfId="11979" priority="24288">
      <formula>IF($B31="Quoting",TRUE,FALSE)</formula>
    </cfRule>
    <cfRule type="expression" dxfId="11978" priority="24289">
      <formula>IF($B31="Quoting",TRUE,FALSE)</formula>
    </cfRule>
    <cfRule type="expression" dxfId="11977" priority="24290">
      <formula>IF($B31="Quoting",TRUE,FALSE)</formula>
    </cfRule>
    <cfRule type="expression" dxfId="11976" priority="24291">
      <formula>IF($B31="Quoting",TRUE,FALSE)</formula>
    </cfRule>
    <cfRule type="expression" dxfId="11975" priority="24292">
      <formula>IF($B31="Quoting",TRUE,FALSE)</formula>
    </cfRule>
    <cfRule type="expression" dxfId="11974" priority="24293">
      <formula>IF($B31="Quoting",TRUE,FALSE)</formula>
    </cfRule>
    <cfRule type="expression" dxfId="11973" priority="24294">
      <formula>IF($B31="Quoting",TRUE,FALSE)</formula>
    </cfRule>
    <cfRule type="expression" dxfId="11972" priority="24295">
      <formula>IF($B31="Quoting",TRUE,FALSE)</formula>
    </cfRule>
    <cfRule type="expression" dxfId="11971" priority="24296">
      <formula>IF($B31="Quoting",TRUE,FALSE)</formula>
    </cfRule>
    <cfRule type="expression" dxfId="11970" priority="24297">
      <formula>IF($B31="Quoting",TRUE,FALSE)</formula>
    </cfRule>
    <cfRule type="expression" dxfId="11969" priority="24298">
      <formula>IF($B31="Quoting",TRUE,FALSE)</formula>
    </cfRule>
    <cfRule type="expression" dxfId="11968" priority="24299">
      <formula>IF($B31="Quoting",TRUE,FALSE)</formula>
    </cfRule>
    <cfRule type="expression" dxfId="11967" priority="24300">
      <formula>IF($B31="Quoting",TRUE,FALSE)</formula>
    </cfRule>
    <cfRule type="expression" dxfId="11966" priority="24301">
      <formula>IF($B31="Quoting",TRUE,FALSE)</formula>
    </cfRule>
    <cfRule type="expression" dxfId="11965" priority="24302">
      <formula>IF($B31="Quoting",TRUE,FALSE)</formula>
    </cfRule>
    <cfRule type="expression" dxfId="11964" priority="24303">
      <formula>IF($B31="Quoting",TRUE,FALSE)</formula>
    </cfRule>
    <cfRule type="expression" dxfId="11963" priority="24304">
      <formula>IF($B31="Quoting",TRUE,FALSE)</formula>
    </cfRule>
    <cfRule type="expression" dxfId="11962" priority="24305">
      <formula>IF($B31="Quoting",TRUE,FALSE)</formula>
    </cfRule>
    <cfRule type="expression" dxfId="11961" priority="24306">
      <formula>IF($B31="Quoting",TRUE,FALSE)</formula>
    </cfRule>
    <cfRule type="expression" dxfId="11960" priority="24307">
      <formula>IF($B31="Quoting",TRUE,FALSE)</formula>
    </cfRule>
    <cfRule type="expression" dxfId="11959" priority="24308">
      <formula>IF($B31="Quoting",TRUE,FALSE)</formula>
    </cfRule>
    <cfRule type="expression" dxfId="11958" priority="24309">
      <formula>IF($B31="Quoting",TRUE,FALSE)</formula>
    </cfRule>
    <cfRule type="expression" dxfId="11957" priority="24310">
      <formula>IF($B31="Quoting",TRUE,FALSE)</formula>
    </cfRule>
    <cfRule type="expression" dxfId="11956" priority="24311">
      <formula>IF($B31="Quoting",TRUE,FALSE)</formula>
    </cfRule>
    <cfRule type="expression" dxfId="11955" priority="24312">
      <formula>IF($B31="Quoting",TRUE,FALSE)</formula>
    </cfRule>
    <cfRule type="expression" dxfId="11954" priority="24313">
      <formula>IF($B31="Quoting",TRUE,FALSE)</formula>
    </cfRule>
    <cfRule type="expression" dxfId="11953" priority="24314">
      <formula>IF($B31="Quoting",TRUE,FALSE)</formula>
    </cfRule>
    <cfRule type="expression" dxfId="11952" priority="24315">
      <formula>IF($B31="Quoting",TRUE,FALSE)</formula>
    </cfRule>
    <cfRule type="expression" dxfId="11951" priority="24316">
      <formula>IF($B31="Quoting",TRUE,FALSE)</formula>
    </cfRule>
    <cfRule type="expression" dxfId="11950" priority="24317">
      <formula>IF($B31="Quoting",TRUE,FALSE)</formula>
    </cfRule>
    <cfRule type="expression" dxfId="11949" priority="24318">
      <formula>IF($B31="Quoting",TRUE,FALSE)</formula>
    </cfRule>
    <cfRule type="expression" dxfId="11948" priority="24319">
      <formula>IF($B31="Quoting",TRUE,FALSE)</formula>
    </cfRule>
    <cfRule type="expression" dxfId="11947" priority="24320">
      <formula>IF($B31="Quoting",TRUE,FALSE)</formula>
    </cfRule>
    <cfRule type="expression" dxfId="11946" priority="24321">
      <formula>IF($B31="Quoting",TRUE,FALSE)</formula>
    </cfRule>
    <cfRule type="expression" dxfId="11945" priority="24322">
      <formula>IF($B31="Quoting",TRUE,FALSE)</formula>
    </cfRule>
    <cfRule type="expression" dxfId="11944" priority="24323">
      <formula>IF($B31="Quoting",TRUE,FALSE)</formula>
    </cfRule>
    <cfRule type="expression" dxfId="11943" priority="24324">
      <formula>IF($B31="Quoting",TRUE,FALSE)</formula>
    </cfRule>
    <cfRule type="expression" dxfId="11942" priority="24325">
      <formula>IF($B31="Quoting",TRUE,FALSE)</formula>
    </cfRule>
    <cfRule type="expression" dxfId="11941" priority="24326">
      <formula>IF($B31="Quoting",TRUE,FALSE)</formula>
    </cfRule>
    <cfRule type="expression" dxfId="11940" priority="24327">
      <formula>IF($B31="Quoting",TRUE,FALSE)</formula>
    </cfRule>
    <cfRule type="expression" dxfId="11939" priority="24328">
      <formula>IF($B31="Quoting",TRUE,FALSE)</formula>
    </cfRule>
    <cfRule type="expression" dxfId="11938" priority="24329">
      <formula>IF($B31="Quoting",TRUE,FALSE)</formula>
    </cfRule>
    <cfRule type="expression" dxfId="11937" priority="24330">
      <formula>IF($B31="Quoting",TRUE,FALSE)</formula>
    </cfRule>
    <cfRule type="expression" dxfId="11936" priority="24331">
      <formula>IF($B31="Quoting",TRUE,FALSE)</formula>
    </cfRule>
    <cfRule type="expression" dxfId="11935" priority="24332">
      <formula>IF($B31="Quoting",TRUE,FALSE)</formula>
    </cfRule>
    <cfRule type="expression" dxfId="11934" priority="24333">
      <formula>IF($B31="Quoting",TRUE,FALSE)</formula>
    </cfRule>
    <cfRule type="expression" dxfId="11933" priority="24334">
      <formula>IF($B31="Quoting",TRUE,FALSE)</formula>
    </cfRule>
    <cfRule type="expression" dxfId="11932" priority="24335">
      <formula>IF($B31="Quoting",TRUE,FALSE)</formula>
    </cfRule>
    <cfRule type="expression" dxfId="11931" priority="24336">
      <formula>IF($B31="Quoting",TRUE,FALSE)</formula>
    </cfRule>
    <cfRule type="expression" dxfId="11930" priority="24337">
      <formula>IF($B31="Quoting",TRUE,FALSE)</formula>
    </cfRule>
    <cfRule type="expression" dxfId="11929" priority="24338">
      <formula>IF($B31="Quoting",TRUE,FALSE)</formula>
    </cfRule>
    <cfRule type="expression" dxfId="11928" priority="24339">
      <formula>IF($B31="Quoting",TRUE,FALSE)</formula>
    </cfRule>
    <cfRule type="expression" dxfId="11927" priority="24340">
      <formula>IF($B31="Quoting",TRUE,FALSE)</formula>
    </cfRule>
    <cfRule type="expression" dxfId="11926" priority="24341">
      <formula>IF($B31="Quoting",TRUE,FALSE)</formula>
    </cfRule>
    <cfRule type="expression" dxfId="11925" priority="24342">
      <formula>IF($B31="Quoting",TRUE,FALSE)</formula>
    </cfRule>
    <cfRule type="expression" dxfId="11924" priority="24343">
      <formula>IF($B31="Quoting",TRUE,FALSE)</formula>
    </cfRule>
    <cfRule type="expression" dxfId="11923" priority="24344">
      <formula>IF($B31="Quoting",TRUE,FALSE)</formula>
    </cfRule>
    <cfRule type="expression" dxfId="11922" priority="24345">
      <formula>IF($B31="Quoting",TRUE,FALSE)</formula>
    </cfRule>
    <cfRule type="expression" dxfId="11921" priority="24346">
      <formula>IF($B31="Quoting",TRUE,FALSE)</formula>
    </cfRule>
    <cfRule type="expression" dxfId="11920" priority="24347">
      <formula>IF($B31="Quoting",TRUE,FALSE)</formula>
    </cfRule>
    <cfRule type="expression" dxfId="11919" priority="24348">
      <formula>IF($B31="Quoting",TRUE,FALSE)</formula>
    </cfRule>
    <cfRule type="expression" dxfId="11918" priority="24349">
      <formula>IF($B31="Quoting",TRUE,FALSE)</formula>
    </cfRule>
    <cfRule type="expression" dxfId="11917" priority="24350">
      <formula>IF($B31="Quoting",TRUE,FALSE)</formula>
    </cfRule>
    <cfRule type="expression" dxfId="11916" priority="24351">
      <formula>IF($B31="Quoting",TRUE,FALSE)</formula>
    </cfRule>
    <cfRule type="expression" dxfId="11915" priority="24352">
      <formula>IF($B31="Quoting",TRUE,FALSE)</formula>
    </cfRule>
    <cfRule type="expression" dxfId="11914" priority="24353">
      <formula>IF($B31="Quoting",TRUE,FALSE)</formula>
    </cfRule>
    <cfRule type="expression" dxfId="11913" priority="24354">
      <formula>IF($B31="Quoting",TRUE,FALSE)</formula>
    </cfRule>
    <cfRule type="expression" dxfId="11912" priority="24355">
      <formula>IF($B31="Quoting",TRUE,FALSE)</formula>
    </cfRule>
    <cfRule type="expression" dxfId="11911" priority="24356">
      <formula>IF($B31="Quoting",TRUE,FALSE)</formula>
    </cfRule>
    <cfRule type="expression" dxfId="11910" priority="24357">
      <formula>IF($B31="Quoting",TRUE,FALSE)</formula>
    </cfRule>
    <cfRule type="expression" dxfId="11909" priority="24358">
      <formula>IF($B31="Quoting",TRUE,FALSE)</formula>
    </cfRule>
    <cfRule type="expression" dxfId="11908" priority="24359">
      <formula>IF($B31="Quoting",TRUE,FALSE)</formula>
    </cfRule>
    <cfRule type="expression" dxfId="11907" priority="24360">
      <formula>IF($B31="Quoting",TRUE,FALSE)</formula>
    </cfRule>
    <cfRule type="expression" dxfId="11906" priority="24361">
      <formula>IF($B31="Quoting",TRUE,FALSE)</formula>
    </cfRule>
    <cfRule type="expression" dxfId="11905" priority="24362">
      <formula>IF($B31="Quoting",TRUE,FALSE)</formula>
    </cfRule>
    <cfRule type="expression" dxfId="11904" priority="24363">
      <formula>IF($B31="Quoting",TRUE,FALSE)</formula>
    </cfRule>
    <cfRule type="expression" dxfId="11903" priority="24364">
      <formula>IF($B31="Quoting",TRUE,FALSE)</formula>
    </cfRule>
    <cfRule type="expression" dxfId="11902" priority="24365">
      <formula>IF($B31="Quoting",TRUE,FALSE)</formula>
    </cfRule>
    <cfRule type="expression" dxfId="11901" priority="24366">
      <formula>IF($B31="Quoting",TRUE,FALSE)</formula>
    </cfRule>
    <cfRule type="expression" dxfId="11900" priority="24367">
      <formula>IF($B31="Quoting",TRUE,FALSE)</formula>
    </cfRule>
    <cfRule type="expression" dxfId="11899" priority="24368">
      <formula>IF($B31="Quoting",TRUE,FALSE)</formula>
    </cfRule>
    <cfRule type="expression" dxfId="11898" priority="24369">
      <formula>IF($B31="Quoting",TRUE,FALSE)</formula>
    </cfRule>
    <cfRule type="expression" dxfId="11897" priority="24370">
      <formula>IF($B31="Quoting",TRUE,FALSE)</formula>
    </cfRule>
    <cfRule type="expression" dxfId="11896" priority="24371">
      <formula>IF($B31="Quoting",TRUE,FALSE)</formula>
    </cfRule>
    <cfRule type="expression" dxfId="11895" priority="24372">
      <formula>IF($B31="Quoting",TRUE,FALSE)</formula>
    </cfRule>
    <cfRule type="expression" dxfId="11894" priority="24373">
      <formula>IF($B31="Quoting",TRUE,FALSE)</formula>
    </cfRule>
    <cfRule type="expression" dxfId="11893" priority="24374">
      <formula>IF($B31="Quoting",TRUE,FALSE)</formula>
    </cfRule>
    <cfRule type="expression" dxfId="11892" priority="24375">
      <formula>IF($B31="Quoting",TRUE,FALSE)</formula>
    </cfRule>
    <cfRule type="expression" dxfId="11891" priority="24376">
      <formula>IF($B31="Quoting",TRUE,FALSE)</formula>
    </cfRule>
    <cfRule type="expression" dxfId="11890" priority="24377">
      <formula>IF($B31="Quoting",TRUE,FALSE)</formula>
    </cfRule>
    <cfRule type="expression" dxfId="11889" priority="24378">
      <formula>IF($B31="Quoting",TRUE,FALSE)</formula>
    </cfRule>
    <cfRule type="expression" dxfId="11888" priority="24379">
      <formula>IF($B31="Quoting",TRUE,FALSE)</formula>
    </cfRule>
    <cfRule type="expression" dxfId="11887" priority="24380">
      <formula>IF($B31="Quoting",TRUE,FALSE)</formula>
    </cfRule>
    <cfRule type="expression" dxfId="11886" priority="24381">
      <formula>IF($B31="Quoting",TRUE,FALSE)</formula>
    </cfRule>
    <cfRule type="expression" dxfId="11885" priority="24382">
      <formula>IF($B31="Quoting",TRUE,FALSE)</formula>
    </cfRule>
    <cfRule type="expression" dxfId="11884" priority="24383">
      <formula>IF($B31="Quoting",TRUE,FALSE)</formula>
    </cfRule>
    <cfRule type="expression" dxfId="11883" priority="24384">
      <formula>IF($B31="Quoting",TRUE,FALSE)</formula>
    </cfRule>
    <cfRule type="expression" dxfId="11882" priority="24385">
      <formula>IF($B31="Quoting",TRUE,FALSE)</formula>
    </cfRule>
    <cfRule type="expression" dxfId="11881" priority="24386">
      <formula>IF($B31="Quoting",TRUE,FALSE)</formula>
    </cfRule>
    <cfRule type="expression" dxfId="11880" priority="24387">
      <formula>IF($B31="Quoting",TRUE,FALSE)</formula>
    </cfRule>
    <cfRule type="expression" dxfId="11879" priority="24388">
      <formula>IF($B31="Quoting",TRUE,FALSE)</formula>
    </cfRule>
    <cfRule type="expression" dxfId="11878" priority="24389">
      <formula>IF($B31="Quoting",TRUE,FALSE)</formula>
    </cfRule>
    <cfRule type="expression" dxfId="11877" priority="24390">
      <formula>IF($B31="Quoting",TRUE,FALSE)</formula>
    </cfRule>
    <cfRule type="expression" dxfId="11876" priority="24391">
      <formula>IF($B31="Quoting",TRUE,FALSE)</formula>
    </cfRule>
    <cfRule type="expression" dxfId="11875" priority="24392">
      <formula>IF($B31="Quoting",TRUE,FALSE)</formula>
    </cfRule>
    <cfRule type="expression" dxfId="11874" priority="24393">
      <formula>IF($B31="Quoting",TRUE,FALSE)</formula>
    </cfRule>
    <cfRule type="expression" dxfId="11873" priority="24394">
      <formula>IF($B31="Quoting",TRUE,FALSE)</formula>
    </cfRule>
    <cfRule type="expression" dxfId="11872" priority="24395">
      <formula>IF($B31="Quoting",TRUE,FALSE)</formula>
    </cfRule>
    <cfRule type="expression" dxfId="11871" priority="24396">
      <formula>IF($B31="Quoting",TRUE,FALSE)</formula>
    </cfRule>
    <cfRule type="expression" dxfId="11870" priority="24397">
      <formula>IF($B31="Quoting",TRUE,FALSE)</formula>
    </cfRule>
    <cfRule type="expression" dxfId="11869" priority="24398">
      <formula>IF($B31="Quoting",TRUE,FALSE)</formula>
    </cfRule>
    <cfRule type="expression" dxfId="11868" priority="24399">
      <formula>IF($B31="Quoting",TRUE,FALSE)</formula>
    </cfRule>
    <cfRule type="expression" dxfId="11867" priority="24400">
      <formula>IF($B31="Quoting",TRUE,FALSE)</formula>
    </cfRule>
    <cfRule type="expression" dxfId="11866" priority="24401">
      <formula>IF($B31="Quoting",TRUE,FALSE)</formula>
    </cfRule>
    <cfRule type="expression" dxfId="11865" priority="24402">
      <formula>IF($B31="Quoting",TRUE,FALSE)</formula>
    </cfRule>
    <cfRule type="expression" dxfId="11864" priority="24403">
      <formula>IF($B31="Quoting",TRUE,FALSE)</formula>
    </cfRule>
    <cfRule type="expression" dxfId="11863" priority="24404">
      <formula>IF($B31="Quoting",TRUE,FALSE)</formula>
    </cfRule>
    <cfRule type="expression" dxfId="11862" priority="24405">
      <formula>IF($B31="Quoting",TRUE,FALSE)</formula>
    </cfRule>
    <cfRule type="expression" dxfId="11861" priority="24406">
      <formula>IF($B31="Quoting",TRUE,FALSE)</formula>
    </cfRule>
    <cfRule type="expression" dxfId="11860" priority="24407">
      <formula>IF($B31="Quoting",TRUE,FALSE)</formula>
    </cfRule>
    <cfRule type="expression" dxfId="11859" priority="24408">
      <formula>IF($B31="Quoting",TRUE,FALSE)</formula>
    </cfRule>
    <cfRule type="expression" dxfId="11858" priority="24409">
      <formula>IF($B31="Quoting",TRUE,FALSE)</formula>
    </cfRule>
    <cfRule type="expression" dxfId="11857" priority="24410">
      <formula>IF($B31="Quoting",TRUE,FALSE)</formula>
    </cfRule>
    <cfRule type="expression" dxfId="11856" priority="24411">
      <formula>IF($B31="Quoting",TRUE,FALSE)</formula>
    </cfRule>
    <cfRule type="expression" dxfId="11855" priority="24412">
      <formula>IF($B31="Quoting",TRUE,FALSE)</formula>
    </cfRule>
    <cfRule type="expression" dxfId="11854" priority="24413">
      <formula>IF($B31="Quoting",TRUE,FALSE)</formula>
    </cfRule>
    <cfRule type="expression" dxfId="11853" priority="24414">
      <formula>IF($B31="Quoting",TRUE,FALSE)</formula>
    </cfRule>
    <cfRule type="expression" dxfId="11852" priority="24415">
      <formula>IF($B31="Quoting",TRUE,FALSE)</formula>
    </cfRule>
    <cfRule type="expression" dxfId="11851" priority="24416">
      <formula>IF($B31="Quoting",TRUE,FALSE)</formula>
    </cfRule>
    <cfRule type="expression" dxfId="11850" priority="24417">
      <formula>IF($B31="Quoting",TRUE,FALSE)</formula>
    </cfRule>
    <cfRule type="expression" dxfId="11849" priority="24418">
      <formula>IF($B31="Quoting",TRUE,FALSE)</formula>
    </cfRule>
    <cfRule type="expression" dxfId="11848" priority="24419">
      <formula>IF($B31="Quoting",TRUE,FALSE)</formula>
    </cfRule>
    <cfRule type="expression" dxfId="11847" priority="24420">
      <formula>IF($B31="Quoting",TRUE,FALSE)</formula>
    </cfRule>
    <cfRule type="expression" dxfId="11846" priority="24421">
      <formula>IF($B31="Quoting",TRUE,FALSE)</formula>
    </cfRule>
    <cfRule type="expression" dxfId="11845" priority="24422">
      <formula>IF($B31="Quoting",TRUE,FALSE)</formula>
    </cfRule>
    <cfRule type="expression" dxfId="11844" priority="24423">
      <formula>IF($B31="Quoting",TRUE,FALSE)</formula>
    </cfRule>
    <cfRule type="expression" dxfId="11843" priority="24424">
      <formula>IF($B31="Quoting",TRUE,FALSE)</formula>
    </cfRule>
    <cfRule type="expression" dxfId="11842" priority="24425">
      <formula>IF($B31="Quoting",TRUE,FALSE)</formula>
    </cfRule>
    <cfRule type="expression" dxfId="11841" priority="24426">
      <formula>IF($B31="Quoting",TRUE,FALSE)</formula>
    </cfRule>
    <cfRule type="expression" dxfId="11840" priority="24427">
      <formula>IF($B31="Quoting",TRUE,FALSE)</formula>
    </cfRule>
    <cfRule type="expression" dxfId="11839" priority="24428">
      <formula>IF($B31="Quoting",TRUE,FALSE)</formula>
    </cfRule>
    <cfRule type="expression" dxfId="11838" priority="24429">
      <formula>IF($B31="Quoting",TRUE,FALSE)</formula>
    </cfRule>
    <cfRule type="expression" dxfId="11837" priority="24430">
      <formula>IF($B31="Quoting",TRUE,FALSE)</formula>
    </cfRule>
    <cfRule type="expression" dxfId="11836" priority="24431">
      <formula>IF($B31="Quoting",TRUE,FALSE)</formula>
    </cfRule>
    <cfRule type="expression" dxfId="11835" priority="24432">
      <formula>IF($B31="Quoting",TRUE,FALSE)</formula>
    </cfRule>
    <cfRule type="expression" dxfId="11834" priority="24433">
      <formula>IF($B31="Quoting",TRUE,FALSE)</formula>
    </cfRule>
    <cfRule type="expression" dxfId="11833" priority="24434">
      <formula>IF($B31="Quoting",TRUE,FALSE)</formula>
    </cfRule>
    <cfRule type="expression" dxfId="11832" priority="24435">
      <formula>IF($B31="Quoting",TRUE,FALSE)</formula>
    </cfRule>
    <cfRule type="expression" dxfId="11831" priority="24436">
      <formula>IF($B31="Quoting",TRUE,FALSE)</formula>
    </cfRule>
    <cfRule type="expression" dxfId="11830" priority="24437">
      <formula>IF($B31="Quoting",TRUE,FALSE)</formula>
    </cfRule>
    <cfRule type="expression" dxfId="11829" priority="24438">
      <formula>IF($B31="Quoting",TRUE,FALSE)</formula>
    </cfRule>
    <cfRule type="expression" dxfId="11828" priority="24439">
      <formula>IF($B31="Quoting",TRUE,FALSE)</formula>
    </cfRule>
    <cfRule type="expression" dxfId="11827" priority="24440">
      <formula>IF($B31="Quoting",TRUE,FALSE)</formula>
    </cfRule>
    <cfRule type="expression" dxfId="11826" priority="24441">
      <formula>IF($B31="Quoting",TRUE,FALSE)</formula>
    </cfRule>
    <cfRule type="expression" dxfId="11825" priority="24442">
      <formula>IF($B31="Quoting",TRUE,FALSE)</formula>
    </cfRule>
    <cfRule type="expression" dxfId="11824" priority="24443">
      <formula>IF($B31="Quoting",TRUE,FALSE)</formula>
    </cfRule>
    <cfRule type="expression" dxfId="11823" priority="24444">
      <formula>IF($B31="Quoting",TRUE,FALSE)</formula>
    </cfRule>
    <cfRule type="expression" dxfId="11822" priority="24445">
      <formula>IF($B31="Quoting",TRUE,FALSE)</formula>
    </cfRule>
    <cfRule type="expression" dxfId="11821" priority="24446">
      <formula>IF($B31="Quoting",TRUE,FALSE)</formula>
    </cfRule>
    <cfRule type="expression" dxfId="11820" priority="24447">
      <formula>IF($B31="Quoting",TRUE,FALSE)</formula>
    </cfRule>
    <cfRule type="expression" dxfId="11819" priority="24448">
      <formula>IF($B31="Quoting",TRUE,FALSE)</formula>
    </cfRule>
    <cfRule type="expression" dxfId="11818" priority="24449">
      <formula>IF($B31="Quoting",TRUE,FALSE)</formula>
    </cfRule>
    <cfRule type="expression" dxfId="11817" priority="24450">
      <formula>IF($B31="Quoting",TRUE,FALSE)</formula>
    </cfRule>
    <cfRule type="expression" dxfId="11816" priority="24451">
      <formula>IF($B31="Quoting",TRUE,FALSE)</formula>
    </cfRule>
    <cfRule type="expression" dxfId="11815" priority="24452">
      <formula>IF($B31="Quoting",TRUE,FALSE)</formula>
    </cfRule>
    <cfRule type="expression" dxfId="11814" priority="24453">
      <formula>IF($B31="Quoting",TRUE,FALSE)</formula>
    </cfRule>
    <cfRule type="expression" dxfId="11813" priority="24454">
      <formula>IF($B31="Quoting",TRUE,FALSE)</formula>
    </cfRule>
    <cfRule type="expression" dxfId="11812" priority="24455">
      <formula>IF($B31="Quoting",TRUE,FALSE)</formula>
    </cfRule>
    <cfRule type="expression" dxfId="11811" priority="24456">
      <formula>IF($B31="Quoting",TRUE,FALSE)</formula>
    </cfRule>
    <cfRule type="expression" dxfId="11810" priority="24457">
      <formula>IF($B31="Quoting",TRUE,FALSE)</formula>
    </cfRule>
    <cfRule type="expression" dxfId="11809" priority="24458">
      <formula>IF($B31="Quoting",TRUE,FALSE)</formula>
    </cfRule>
    <cfRule type="expression" dxfId="11808" priority="24459">
      <formula>IF($B31="Quoting",TRUE,FALSE)</formula>
    </cfRule>
    <cfRule type="expression" dxfId="11807" priority="24460">
      <formula>IF($B31="Quoting",TRUE,FALSE)</formula>
    </cfRule>
    <cfRule type="expression" dxfId="11806" priority="24461">
      <formula>IF($B31="Quoting",TRUE,FALSE)</formula>
    </cfRule>
    <cfRule type="expression" dxfId="11805" priority="24462">
      <formula>IF($B31="Quoting",TRUE,FALSE)</formula>
    </cfRule>
    <cfRule type="expression" dxfId="11804" priority="24463">
      <formula>IF($B31="Quoting",TRUE,FALSE)</formula>
    </cfRule>
    <cfRule type="expression" dxfId="11803" priority="24464">
      <formula>IF($B31="Quoting",TRUE,FALSE)</formula>
    </cfRule>
    <cfRule type="expression" dxfId="11802" priority="24465">
      <formula>IF($B31="Quoting",TRUE,FALSE)</formula>
    </cfRule>
    <cfRule type="expression" dxfId="11801" priority="24466">
      <formula>IF($B31="Quoting",TRUE,FALSE)</formula>
    </cfRule>
    <cfRule type="expression" dxfId="11800" priority="24467">
      <formula>IF($B31="Quoting",TRUE,FALSE)</formula>
    </cfRule>
    <cfRule type="expression" dxfId="11799" priority="24468">
      <formula>IF($B31="Quoting",TRUE,FALSE)</formula>
    </cfRule>
    <cfRule type="expression" dxfId="11798" priority="24469">
      <formula>IF($B31="Quoting",TRUE,FALSE)</formula>
    </cfRule>
    <cfRule type="expression" dxfId="11797" priority="24470">
      <formula>IF($B31="Quoting",TRUE,FALSE)</formula>
    </cfRule>
    <cfRule type="expression" dxfId="11796" priority="24471">
      <formula>IF($B31="Quoting",TRUE,FALSE)</formula>
    </cfRule>
    <cfRule type="expression" dxfId="11795" priority="24472">
      <formula>IF($B31="Quoting",TRUE,FALSE)</formula>
    </cfRule>
    <cfRule type="expression" dxfId="11794" priority="24473">
      <formula>IF($B31="Quoting",TRUE,FALSE)</formula>
    </cfRule>
    <cfRule type="expression" dxfId="11793" priority="24474">
      <formula>IF($B31="Quoting",TRUE,FALSE)</formula>
    </cfRule>
    <cfRule type="expression" dxfId="11792" priority="24475">
      <formula>IF($B31="Quoting",TRUE,FALSE)</formula>
    </cfRule>
    <cfRule type="expression" dxfId="11791" priority="24476">
      <formula>IF($B31="Quoting",TRUE,FALSE)</formula>
    </cfRule>
    <cfRule type="expression" dxfId="11790" priority="24477">
      <formula>IF($B31="Quoting",TRUE,FALSE)</formula>
    </cfRule>
    <cfRule type="expression" dxfId="11789" priority="24478">
      <formula>IF($B31="Quoting",TRUE,FALSE)</formula>
    </cfRule>
    <cfRule type="expression" dxfId="11788" priority="24479">
      <formula>IF($B31="Quoting",TRUE,FALSE)</formula>
    </cfRule>
    <cfRule type="expression" dxfId="11787" priority="24480">
      <formula>IF($B31="Quoting",TRUE,FALSE)</formula>
    </cfRule>
    <cfRule type="expression" dxfId="11786" priority="24481">
      <formula>IF($B31="Quoting",TRUE,FALSE)</formula>
    </cfRule>
    <cfRule type="expression" dxfId="11785" priority="24482">
      <formula>IF($B31="Quoting",TRUE,FALSE)</formula>
    </cfRule>
    <cfRule type="expression" dxfId="11784" priority="24483">
      <formula>IF($B31="Quoting",TRUE,FALSE)</formula>
    </cfRule>
    <cfRule type="expression" dxfId="11783" priority="24484">
      <formula>IF($B31="Quoting",TRUE,FALSE)</formula>
    </cfRule>
    <cfRule type="expression" dxfId="11782" priority="24485">
      <formula>IF($B31="Quoting",TRUE,FALSE)</formula>
    </cfRule>
    <cfRule type="expression" dxfId="11781" priority="24486">
      <formula>IF($B31="Quoting",TRUE,FALSE)</formula>
    </cfRule>
    <cfRule type="expression" dxfId="11780" priority="24487">
      <formula>IF($B31="Quoting",TRUE,FALSE)</formula>
    </cfRule>
    <cfRule type="expression" dxfId="11779" priority="24488">
      <formula>IF($B31="Quoting",TRUE,FALSE)</formula>
    </cfRule>
    <cfRule type="expression" dxfId="11778" priority="24489">
      <formula>IF($B31="Quoting",TRUE,FALSE)</formula>
    </cfRule>
    <cfRule type="expression" dxfId="11777" priority="24490">
      <formula>IF($B31="Quoting",TRUE,FALSE)</formula>
    </cfRule>
    <cfRule type="expression" dxfId="11776" priority="24491">
      <formula>IF($B31="Quoting",TRUE,FALSE)</formula>
    </cfRule>
    <cfRule type="expression" dxfId="11775" priority="24492">
      <formula>IF($B31="Quoting",TRUE,FALSE)</formula>
    </cfRule>
    <cfRule type="expression" dxfId="11774" priority="24493">
      <formula>IF($B31="Quoting",TRUE,FALSE)</formula>
    </cfRule>
    <cfRule type="expression" dxfId="11773" priority="24494">
      <formula>IF($B31="Quoting",TRUE,FALSE)</formula>
    </cfRule>
    <cfRule type="expression" dxfId="11772" priority="24495">
      <formula>IF($B31="Quoting",TRUE,FALSE)</formula>
    </cfRule>
    <cfRule type="expression" dxfId="11771" priority="24496">
      <formula>IF($B31="Quoting",TRUE,FALSE)</formula>
    </cfRule>
    <cfRule type="expression" dxfId="11770" priority="24497">
      <formula>IF($B31="Quoting",TRUE,FALSE)</formula>
    </cfRule>
    <cfRule type="expression" dxfId="11769" priority="24498">
      <formula>IF($B31="Quoting",TRUE,FALSE)</formula>
    </cfRule>
    <cfRule type="expression" dxfId="11768" priority="24499">
      <formula>IF($B31="Quoting",TRUE,FALSE)</formula>
    </cfRule>
    <cfRule type="expression" dxfId="11767" priority="24500">
      <formula>IF($B31="Quoting",TRUE,FALSE)</formula>
    </cfRule>
    <cfRule type="expression" dxfId="11766" priority="24501">
      <formula>IF($B31="Quoting",TRUE,FALSE)</formula>
    </cfRule>
    <cfRule type="expression" dxfId="11765" priority="24502">
      <formula>IF($B31="Quoting",TRUE,FALSE)</formula>
    </cfRule>
    <cfRule type="expression" dxfId="11764" priority="24503">
      <formula>IF($B31="Quoting",TRUE,FALSE)</formula>
    </cfRule>
    <cfRule type="expression" dxfId="11763" priority="24504">
      <formula>IF($B31="Quoting",TRUE,FALSE)</formula>
    </cfRule>
    <cfRule type="expression" dxfId="11762" priority="24505">
      <formula>IF($B31="Quoting",TRUE,FALSE)</formula>
    </cfRule>
    <cfRule type="expression" dxfId="11761" priority="24506">
      <formula>IF($B31="Quoting",TRUE,FALSE)</formula>
    </cfRule>
    <cfRule type="expression" dxfId="11760" priority="24507">
      <formula>IF($B31="Quoting",TRUE,FALSE)</formula>
    </cfRule>
    <cfRule type="expression" dxfId="11759" priority="24508">
      <formula>IF($B31="Quoting",TRUE,FALSE)</formula>
    </cfRule>
    <cfRule type="expression" dxfId="11758" priority="24509">
      <formula>IF($B31="Quoting",TRUE,FALSE)</formula>
    </cfRule>
    <cfRule type="expression" dxfId="11757" priority="24510">
      <formula>IF($B31="Quoting",TRUE,FALSE)</formula>
    </cfRule>
    <cfRule type="expression" dxfId="11756" priority="24511">
      <formula>IF($B31="Quoting",TRUE,FALSE)</formula>
    </cfRule>
    <cfRule type="expression" dxfId="11755" priority="24512">
      <formula>IF($B31="Quoting",TRUE,FALSE)</formula>
    </cfRule>
    <cfRule type="expression" dxfId="11754" priority="24513">
      <formula>IF($B31="Quoting",TRUE,FALSE)</formula>
    </cfRule>
    <cfRule type="expression" dxfId="11753" priority="24514">
      <formula>IF($B31="Quoting",TRUE,FALSE)</formula>
    </cfRule>
    <cfRule type="expression" dxfId="11752" priority="24515">
      <formula>IF($B31="Quoting",TRUE,FALSE)</formula>
    </cfRule>
    <cfRule type="expression" dxfId="11751" priority="24516">
      <formula>IF($B31="Quoting",TRUE,FALSE)</formula>
    </cfRule>
    <cfRule type="expression" dxfId="11750" priority="24517">
      <formula>IF($B31="Quoting",TRUE,FALSE)</formula>
    </cfRule>
    <cfRule type="expression" dxfId="11749" priority="24518">
      <formula>IF($B31="Quoting",TRUE,FALSE)</formula>
    </cfRule>
    <cfRule type="expression" dxfId="11748" priority="24519">
      <formula>IF($B31="Quoting",TRUE,FALSE)</formula>
    </cfRule>
    <cfRule type="expression" dxfId="11747" priority="24520">
      <formula>IF($B31="Quoting",TRUE,FALSE)</formula>
    </cfRule>
    <cfRule type="expression" dxfId="11746" priority="24521">
      <formula>IF($B31="Quoting",TRUE,FALSE)</formula>
    </cfRule>
    <cfRule type="expression" dxfId="11745" priority="24522">
      <formula>IF($B31="Quoting",TRUE,FALSE)</formula>
    </cfRule>
    <cfRule type="expression" dxfId="11744" priority="24523">
      <formula>IF($B31="Quoting",TRUE,FALSE)</formula>
    </cfRule>
    <cfRule type="expression" dxfId="11743" priority="24524">
      <formula>IF($B31="Quoting",TRUE,FALSE)</formula>
    </cfRule>
    <cfRule type="expression" dxfId="11742" priority="24525">
      <formula>IF($B31="Quoting",TRUE,FALSE)</formula>
    </cfRule>
    <cfRule type="expression" dxfId="11741" priority="24526">
      <formula>IF($B31="Quoting",TRUE,FALSE)</formula>
    </cfRule>
    <cfRule type="expression" dxfId="11740" priority="24527">
      <formula>IF($B31="Quoting",TRUE,FALSE)</formula>
    </cfRule>
    <cfRule type="expression" dxfId="11739" priority="24528">
      <formula>IF($B31="Quoting",TRUE,FALSE)</formula>
    </cfRule>
    <cfRule type="expression" dxfId="11738" priority="24529">
      <formula>IF($B31="Quoting",TRUE,FALSE)</formula>
    </cfRule>
    <cfRule type="expression" dxfId="11737" priority="24530">
      <formula>IF($B31="Quoting",TRUE,FALSE)</formula>
    </cfRule>
    <cfRule type="expression" dxfId="11736" priority="24531">
      <formula>IF($B31="Quoting",TRUE,FALSE)</formula>
    </cfRule>
    <cfRule type="expression" dxfId="11735" priority="24532">
      <formula>IF($B31="Quoting",TRUE,FALSE)</formula>
    </cfRule>
    <cfRule type="expression" dxfId="11734" priority="24533">
      <formula>IF($B31="Quoting",TRUE,FALSE)</formula>
    </cfRule>
    <cfRule type="expression" dxfId="11733" priority="24534">
      <formula>IF($B31="Quoting",TRUE,FALSE)</formula>
    </cfRule>
    <cfRule type="expression" dxfId="11732" priority="24535">
      <formula>IF($B31="Quoting",TRUE,FALSE)</formula>
    </cfRule>
    <cfRule type="expression" dxfId="11731" priority="24536">
      <formula>IF($B31="Quoting",TRUE,FALSE)</formula>
    </cfRule>
    <cfRule type="expression" dxfId="11730" priority="24537">
      <formula>IF($B31="Quoting",TRUE,FALSE)</formula>
    </cfRule>
    <cfRule type="expression" dxfId="11729" priority="24538">
      <formula>IF($B31="Quoting",TRUE,FALSE)</formula>
    </cfRule>
    <cfRule type="expression" dxfId="11728" priority="24539">
      <formula>IF($B31="Quoting",TRUE,FALSE)</formula>
    </cfRule>
    <cfRule type="expression" dxfId="11727" priority="24540">
      <formula>IF($B31="Quoting",TRUE,FALSE)</formula>
    </cfRule>
    <cfRule type="expression" dxfId="11726" priority="24541">
      <formula>IF($B31="Quoting",TRUE,FALSE)</formula>
    </cfRule>
    <cfRule type="expression" dxfId="11725" priority="24542">
      <formula>IF($B31="Quoting",TRUE,FALSE)</formula>
    </cfRule>
    <cfRule type="expression" dxfId="11724" priority="24543">
      <formula>IF($B31="Quoting",TRUE,FALSE)</formula>
    </cfRule>
    <cfRule type="expression" dxfId="11723" priority="24544">
      <formula>IF($B31="Quoting",TRUE,FALSE)</formula>
    </cfRule>
    <cfRule type="expression" dxfId="11722" priority="24545">
      <formula>IF($B31="Quoting",TRUE,FALSE)</formula>
    </cfRule>
    <cfRule type="expression" dxfId="11721" priority="24546">
      <formula>IF($B31="Quoting",TRUE,FALSE)</formula>
    </cfRule>
    <cfRule type="expression" dxfId="11720" priority="24547">
      <formula>IF($B31="Quoting",TRUE,FALSE)</formula>
    </cfRule>
    <cfRule type="expression" dxfId="11719" priority="24548">
      <formula>IF($B31="Quoting",TRUE,FALSE)</formula>
    </cfRule>
    <cfRule type="expression" dxfId="11718" priority="24549">
      <formula>IF($B31="Quoting",TRUE,FALSE)</formula>
    </cfRule>
    <cfRule type="expression" dxfId="11717" priority="24550">
      <formula>IF($B31="Quoting",TRUE,FALSE)</formula>
    </cfRule>
    <cfRule type="expression" dxfId="11716" priority="24551">
      <formula>IF($B31="Quoting",TRUE,FALSE)</formula>
    </cfRule>
    <cfRule type="expression" dxfId="11715" priority="24552">
      <formula>IF($B31="Quoting",TRUE,FALSE)</formula>
    </cfRule>
    <cfRule type="expression" dxfId="11714" priority="24553">
      <formula>IF($B31="Quoting",TRUE,FALSE)</formula>
    </cfRule>
    <cfRule type="expression" dxfId="11713" priority="24554">
      <formula>IF($B31="Quoting",TRUE,FALSE)</formula>
    </cfRule>
    <cfRule type="expression" dxfId="11712" priority="24555">
      <formula>IF($B31="Quoting",TRUE,FALSE)</formula>
    </cfRule>
    <cfRule type="expression" dxfId="11711" priority="24556">
      <formula>IF($B31="Quoting",TRUE,FALSE)</formula>
    </cfRule>
    <cfRule type="expression" dxfId="11710" priority="24557">
      <formula>IF($B31="Quoting",TRUE,FALSE)</formula>
    </cfRule>
    <cfRule type="expression" dxfId="11709" priority="24558">
      <formula>IF($B31="Quoting",TRUE,FALSE)</formula>
    </cfRule>
    <cfRule type="expression" dxfId="11708" priority="24559">
      <formula>IF($B31="Quoting",TRUE,FALSE)</formula>
    </cfRule>
    <cfRule type="expression" dxfId="11707" priority="24560">
      <formula>IF($B31="Quoting",TRUE,FALSE)</formula>
    </cfRule>
    <cfRule type="expression" dxfId="11706" priority="24561">
      <formula>IF($B31="Quoting",TRUE,FALSE)</formula>
    </cfRule>
    <cfRule type="expression" dxfId="11705" priority="24562">
      <formula>IF($B31="Quoting",TRUE,FALSE)</formula>
    </cfRule>
    <cfRule type="expression" dxfId="11704" priority="24563">
      <formula>IF($B31="Quoting",TRUE,FALSE)</formula>
    </cfRule>
    <cfRule type="expression" dxfId="11703" priority="24564">
      <formula>IF($B31="Quoting",TRUE,FALSE)</formula>
    </cfRule>
    <cfRule type="expression" dxfId="11702" priority="24565">
      <formula>IF($B31="Quoting",TRUE,FALSE)</formula>
    </cfRule>
    <cfRule type="expression" dxfId="11701" priority="24566">
      <formula>IF($B31="Quoting",TRUE,FALSE)</formula>
    </cfRule>
    <cfRule type="expression" dxfId="11700" priority="24567">
      <formula>IF($B31="Quoting",TRUE,FALSE)</formula>
    </cfRule>
    <cfRule type="expression" dxfId="11699" priority="24568">
      <formula>IF($B31="Quoting",TRUE,FALSE)</formula>
    </cfRule>
    <cfRule type="expression" dxfId="11698" priority="24569">
      <formula>IF($B31="Quoting",TRUE,FALSE)</formula>
    </cfRule>
    <cfRule type="expression" dxfId="11697" priority="24570">
      <formula>IF($B31="Quoting",TRUE,FALSE)</formula>
    </cfRule>
    <cfRule type="expression" dxfId="11696" priority="24571">
      <formula>IF($B31="Quoting",TRUE,FALSE)</formula>
    </cfRule>
    <cfRule type="expression" dxfId="11695" priority="24572">
      <formula>IF($B31="Quoting",TRUE,FALSE)</formula>
    </cfRule>
    <cfRule type="expression" dxfId="11694" priority="24573">
      <formula>IF($B31="Quoting",TRUE,FALSE)</formula>
    </cfRule>
    <cfRule type="expression" dxfId="11693" priority="24574">
      <formula>IF($B31="Quoting",TRUE,FALSE)</formula>
    </cfRule>
    <cfRule type="expression" dxfId="11692" priority="24575">
      <formula>IF($B31="Quoting",TRUE,FALSE)</formula>
    </cfRule>
    <cfRule type="expression" dxfId="11691" priority="24576">
      <formula>IF($B31="Quoting",TRUE,FALSE)</formula>
    </cfRule>
    <cfRule type="expression" dxfId="11690" priority="24577">
      <formula>IF($B31="Quoting",TRUE,FALSE)</formula>
    </cfRule>
    <cfRule type="expression" dxfId="11689" priority="24578">
      <formula>IF($B31="Quoting",TRUE,FALSE)</formula>
    </cfRule>
    <cfRule type="expression" dxfId="11688" priority="24579">
      <formula>IF($B31="Quoting",TRUE,FALSE)</formula>
    </cfRule>
    <cfRule type="expression" dxfId="11687" priority="24580">
      <formula>IF($B31="Quoting",TRUE,FALSE)</formula>
    </cfRule>
    <cfRule type="expression" dxfId="11686" priority="24581">
      <formula>IF($B31="Quoting",TRUE,FALSE)</formula>
    </cfRule>
    <cfRule type="expression" dxfId="11685" priority="24582">
      <formula>IF($B31="Quoting",TRUE,FALSE)</formula>
    </cfRule>
    <cfRule type="expression" dxfId="11684" priority="24583">
      <formula>IF($B31="Quoting",TRUE,FALSE)</formula>
    </cfRule>
    <cfRule type="expression" dxfId="11683" priority="24584">
      <formula>IF($B31="Quoting",TRUE,FALSE)</formula>
    </cfRule>
    <cfRule type="expression" dxfId="11682" priority="24585">
      <formula>IF($B31="Quoting",TRUE,FALSE)</formula>
    </cfRule>
    <cfRule type="expression" dxfId="11681" priority="24586">
      <formula>IF($B31="Quoting",TRUE,FALSE)</formula>
    </cfRule>
    <cfRule type="expression" dxfId="11680" priority="24587">
      <formula>IF($B31="Quoting",TRUE,FALSE)</formula>
    </cfRule>
    <cfRule type="expression" dxfId="11679" priority="24588">
      <formula>IF($B31="Quoting",TRUE,FALSE)</formula>
    </cfRule>
    <cfRule type="expression" dxfId="11678" priority="24589">
      <formula>IF($B31="Quoting",TRUE,FALSE)</formula>
    </cfRule>
    <cfRule type="expression" dxfId="11677" priority="24590">
      <formula>IF($B31="Quoting",TRUE,FALSE)</formula>
    </cfRule>
    <cfRule type="expression" dxfId="11676" priority="24591">
      <formula>IF($B31="Quoting",TRUE,FALSE)</formula>
    </cfRule>
    <cfRule type="expression" dxfId="11675" priority="24592">
      <formula>IF($B31="Quoting",TRUE,FALSE)</formula>
    </cfRule>
    <cfRule type="expression" dxfId="11674" priority="24593">
      <formula>IF($B31="Quoting",TRUE,FALSE)</formula>
    </cfRule>
    <cfRule type="expression" dxfId="11673" priority="24594">
      <formula>IF($B31="Quoting",TRUE,FALSE)</formula>
    </cfRule>
    <cfRule type="expression" dxfId="11672" priority="24595">
      <formula>IF($B31="Quoting",TRUE,FALSE)</formula>
    </cfRule>
    <cfRule type="expression" dxfId="11671" priority="24596">
      <formula>IF($B31="Quoting",TRUE,FALSE)</formula>
    </cfRule>
    <cfRule type="expression" dxfId="11670" priority="24597">
      <formula>IF($B31="Quoting",TRUE,FALSE)</formula>
    </cfRule>
    <cfRule type="expression" dxfId="11669" priority="24598">
      <formula>IF($B31="Quoting",TRUE,FALSE)</formula>
    </cfRule>
    <cfRule type="expression" dxfId="11668" priority="24599">
      <formula>IF($B31="Quoting",TRUE,FALSE)</formula>
    </cfRule>
    <cfRule type="expression" dxfId="11667" priority="24600">
      <formula>IF($B31="Quoting",TRUE,FALSE)</formula>
    </cfRule>
    <cfRule type="expression" dxfId="11666" priority="24601">
      <formula>IF($B31="Quoting",TRUE,FALSE)</formula>
    </cfRule>
    <cfRule type="expression" dxfId="11665" priority="24602">
      <formula>IF($B31="Quoting",TRUE,FALSE)</formula>
    </cfRule>
    <cfRule type="expression" dxfId="11664" priority="24603">
      <formula>IF($B31="Quoting",TRUE,FALSE)</formula>
    </cfRule>
    <cfRule type="expression" dxfId="11663" priority="24604">
      <formula>IF($B31="Quoting",TRUE,FALSE)</formula>
    </cfRule>
    <cfRule type="expression" dxfId="11662" priority="24605">
      <formula>IF($B31="Quoting",TRUE,FALSE)</formula>
    </cfRule>
    <cfRule type="expression" dxfId="11661" priority="24606">
      <formula>IF($B31="Quoting",TRUE,FALSE)</formula>
    </cfRule>
    <cfRule type="expression" dxfId="11660" priority="24607">
      <formula>IF($B31="Quoting",TRUE,FALSE)</formula>
    </cfRule>
    <cfRule type="expression" dxfId="11659" priority="24608">
      <formula>IF($B31="Quoting",TRUE,FALSE)</formula>
    </cfRule>
    <cfRule type="expression" dxfId="11658" priority="24609">
      <formula>IF($B31="Quoting",TRUE,FALSE)</formula>
    </cfRule>
    <cfRule type="expression" dxfId="11657" priority="24610">
      <formula>IF($B31="Quoting",TRUE,FALSE)</formula>
    </cfRule>
    <cfRule type="expression" dxfId="11656" priority="24611">
      <formula>IF($B31="Quoting",TRUE,FALSE)</formula>
    </cfRule>
    <cfRule type="expression" dxfId="11655" priority="24612">
      <formula>IF($B31="Quoting",TRUE,FALSE)</formula>
    </cfRule>
    <cfRule type="expression" dxfId="11654" priority="24613">
      <formula>IF($B31="Quoting",TRUE,FALSE)</formula>
    </cfRule>
    <cfRule type="expression" dxfId="11653" priority="24614">
      <formula>IF($B31="Quoting",TRUE,FALSE)</formula>
    </cfRule>
    <cfRule type="expression" dxfId="11652" priority="24615">
      <formula>IF($B31="Quoting",TRUE,FALSE)</formula>
    </cfRule>
    <cfRule type="expression" dxfId="11651" priority="24616">
      <formula>IF($B31="Quoting",TRUE,FALSE)</formula>
    </cfRule>
    <cfRule type="expression" dxfId="11650" priority="24617">
      <formula>IF($B31="Quoting",TRUE,FALSE)</formula>
    </cfRule>
    <cfRule type="expression" dxfId="11649" priority="24618">
      <formula>IF($B31="Quoting",TRUE,FALSE)</formula>
    </cfRule>
    <cfRule type="expression" dxfId="11648" priority="24619">
      <formula>IF($B31="Quoting",TRUE,FALSE)</formula>
    </cfRule>
    <cfRule type="expression" dxfId="11647" priority="24620">
      <formula>IF($B31="Quoting",TRUE,FALSE)</formula>
    </cfRule>
    <cfRule type="expression" dxfId="11646" priority="24621">
      <formula>IF($B31="Quoting",TRUE,FALSE)</formula>
    </cfRule>
    <cfRule type="expression" dxfId="11645" priority="24622">
      <formula>IF($B31="Quoting",TRUE,FALSE)</formula>
    </cfRule>
    <cfRule type="expression" dxfId="11644" priority="24623">
      <formula>IF($B31="Quoting",TRUE,FALSE)</formula>
    </cfRule>
    <cfRule type="expression" dxfId="11643" priority="24624">
      <formula>IF($B31="Quoting",TRUE,FALSE)</formula>
    </cfRule>
    <cfRule type="expression" dxfId="11642" priority="24625">
      <formula>IF($B31="Quoting",TRUE,FALSE)</formula>
    </cfRule>
    <cfRule type="expression" dxfId="11641" priority="24626">
      <formula>IF($B31="Quoting",TRUE,FALSE)</formula>
    </cfRule>
    <cfRule type="expression" dxfId="11640" priority="24627">
      <formula>IF($B31="Quoting",TRUE,FALSE)</formula>
    </cfRule>
    <cfRule type="expression" dxfId="11639" priority="24628">
      <formula>IF($B31="Quoting",TRUE,FALSE)</formula>
    </cfRule>
    <cfRule type="expression" dxfId="11638" priority="24629">
      <formula>IF($B31="Quoting",TRUE,FALSE)</formula>
    </cfRule>
    <cfRule type="expression" dxfId="11637" priority="24630">
      <formula>IF($B31="Quoting",TRUE,FALSE)</formula>
    </cfRule>
    <cfRule type="expression" dxfId="11636" priority="24631">
      <formula>IF($B31="Quoting",TRUE,FALSE)</formula>
    </cfRule>
    <cfRule type="expression" dxfId="11635" priority="24632">
      <formula>IF($B31="Quoting",TRUE,FALSE)</formula>
    </cfRule>
    <cfRule type="expression" dxfId="11634" priority="24633">
      <formula>IF($B31="Quoting",TRUE,FALSE)</formula>
    </cfRule>
    <cfRule type="expression" dxfId="11633" priority="24634">
      <formula>IF($B31="Quoting",TRUE,FALSE)</formula>
    </cfRule>
    <cfRule type="expression" dxfId="11632" priority="24635">
      <formula>IF($B31="Quoting",TRUE,FALSE)</formula>
    </cfRule>
    <cfRule type="expression" dxfId="11631" priority="24636">
      <formula>IF($B31="Quoting",TRUE,FALSE)</formula>
    </cfRule>
    <cfRule type="expression" dxfId="11630" priority="24637">
      <formula>IF($B31="Quoting",TRUE,FALSE)</formula>
    </cfRule>
    <cfRule type="expression" dxfId="11629" priority="24638">
      <formula>IF($B31="Quoting",TRUE,FALSE)</formula>
    </cfRule>
    <cfRule type="expression" dxfId="11628" priority="24639">
      <formula>IF($B31="Quoting",TRUE,FALSE)</formula>
    </cfRule>
    <cfRule type="expression" dxfId="11627" priority="24640">
      <formula>IF($B31="Quoting",TRUE,FALSE)</formula>
    </cfRule>
    <cfRule type="expression" dxfId="11626" priority="24641">
      <formula>IF($B31="Quoting",TRUE,FALSE)</formula>
    </cfRule>
    <cfRule type="expression" dxfId="11625" priority="24642">
      <formula>IF($B31="Quoting",TRUE,FALSE)</formula>
    </cfRule>
    <cfRule type="expression" dxfId="11624" priority="24643">
      <formula>IF($B31="Quoting",TRUE,FALSE)</formula>
    </cfRule>
    <cfRule type="expression" dxfId="11623" priority="24644">
      <formula>IF($B31="Quoting",TRUE,FALSE)</formula>
    </cfRule>
    <cfRule type="expression" dxfId="11622" priority="24645">
      <formula>IF($B31="Quoting",TRUE,FALSE)</formula>
    </cfRule>
    <cfRule type="expression" dxfId="11621" priority="24646">
      <formula>IF($B31="Quoting",TRUE,FALSE)</formula>
    </cfRule>
    <cfRule type="expression" dxfId="11620" priority="24647">
      <formula>IF($B31="Quoting",TRUE,FALSE)</formula>
    </cfRule>
    <cfRule type="expression" dxfId="11619" priority="24648">
      <formula>IF($B31="Quoting",TRUE,FALSE)</formula>
    </cfRule>
    <cfRule type="expression" dxfId="11618" priority="24649">
      <formula>IF($B31="Quoting",TRUE,FALSE)</formula>
    </cfRule>
    <cfRule type="expression" dxfId="11617" priority="24650">
      <formula>IF($B31="Quoting",TRUE,FALSE)</formula>
    </cfRule>
    <cfRule type="expression" dxfId="11616" priority="24651">
      <formula>IF($B31="Quoting",TRUE,FALSE)</formula>
    </cfRule>
    <cfRule type="expression" dxfId="11615" priority="24652">
      <formula>IF($B31="Quoting",TRUE,FALSE)</formula>
    </cfRule>
    <cfRule type="expression" dxfId="11614" priority="24653">
      <formula>IF($B31="Quoting",TRUE,FALSE)</formula>
    </cfRule>
    <cfRule type="expression" dxfId="11613" priority="24654">
      <formula>IF($B31="Quoting",TRUE,FALSE)</formula>
    </cfRule>
    <cfRule type="expression" dxfId="11612" priority="24655">
      <formula>IF($B31="Quoting",TRUE,FALSE)</formula>
    </cfRule>
    <cfRule type="expression" dxfId="11611" priority="24656">
      <formula>IF($B31="Quoting",TRUE,FALSE)</formula>
    </cfRule>
    <cfRule type="expression" dxfId="11610" priority="24657">
      <formula>IF($B31="Quoting",TRUE,FALSE)</formula>
    </cfRule>
    <cfRule type="expression" dxfId="11609" priority="24658">
      <formula>IF($B31="Quoting",TRUE,FALSE)</formula>
    </cfRule>
    <cfRule type="expression" dxfId="11608" priority="24659">
      <formula>IF($B31="Quoting",TRUE,FALSE)</formula>
    </cfRule>
    <cfRule type="expression" dxfId="11607" priority="24660">
      <formula>IF($B31="Quoting",TRUE,FALSE)</formula>
    </cfRule>
    <cfRule type="expression" dxfId="11606" priority="24661">
      <formula>IF($B31="Quoting",TRUE,FALSE)</formula>
    </cfRule>
    <cfRule type="expression" dxfId="11605" priority="24662">
      <formula>IF($B31="Quoting",TRUE,FALSE)</formula>
    </cfRule>
    <cfRule type="expression" dxfId="11604" priority="24663">
      <formula>IF($B31="Quoting",TRUE,FALSE)</formula>
    </cfRule>
    <cfRule type="expression" dxfId="11603" priority="24664">
      <formula>IF($B31="Quoting",TRUE,FALSE)</formula>
    </cfRule>
    <cfRule type="expression" dxfId="11602" priority="24665">
      <formula>IF($B31="Quoting",TRUE,FALSE)</formula>
    </cfRule>
    <cfRule type="expression" dxfId="11601" priority="24666">
      <formula>IF($B31="Quoting",TRUE,FALSE)</formula>
    </cfRule>
    <cfRule type="expression" dxfId="11600" priority="24667">
      <formula>IF($B31="Quoting",TRUE,FALSE)</formula>
    </cfRule>
    <cfRule type="expression" dxfId="11599" priority="24668">
      <formula>IF($B31="Quoting",TRUE,FALSE)</formula>
    </cfRule>
    <cfRule type="expression" dxfId="11598" priority="24669">
      <formula>IF($B31="Quoting",TRUE,FALSE)</formula>
    </cfRule>
    <cfRule type="expression" dxfId="11597" priority="24670">
      <formula>IF($B31="Quoting",TRUE,FALSE)</formula>
    </cfRule>
    <cfRule type="expression" dxfId="11596" priority="24671">
      <formula>IF($B31="Quoting",TRUE,FALSE)</formula>
    </cfRule>
    <cfRule type="expression" dxfId="11595" priority="24672">
      <formula>IF($B31="Quoting",TRUE,FALSE)</formula>
    </cfRule>
    <cfRule type="expression" dxfId="11594" priority="24673">
      <formula>IF($B31="Quoting",TRUE,FALSE)</formula>
    </cfRule>
    <cfRule type="expression" dxfId="11593" priority="24674">
      <formula>IF($B31="Quoting",TRUE,FALSE)</formula>
    </cfRule>
    <cfRule type="expression" dxfId="11592" priority="24675">
      <formula>IF($B31="Quoting",TRUE,FALSE)</formula>
    </cfRule>
    <cfRule type="expression" dxfId="11591" priority="24676">
      <formula>IF($B31="Quoting",TRUE,FALSE)</formula>
    </cfRule>
    <cfRule type="expression" dxfId="11590" priority="24677">
      <formula>IF($B31="Quoting",TRUE,FALSE)</formula>
    </cfRule>
    <cfRule type="expression" dxfId="11589" priority="24678">
      <formula>IF($B31="Quoting",TRUE,FALSE)</formula>
    </cfRule>
    <cfRule type="expression" dxfId="11588" priority="24679">
      <formula>IF($B31="Quoting",TRUE,FALSE)</formula>
    </cfRule>
    <cfRule type="expression" dxfId="11587" priority="24680">
      <formula>IF($B31="Quoting",TRUE,FALSE)</formula>
    </cfRule>
    <cfRule type="expression" dxfId="11586" priority="24681">
      <formula>IF($B31="Quoting",TRUE,FALSE)</formula>
    </cfRule>
    <cfRule type="expression" dxfId="11585" priority="24682">
      <formula>IF($B31="Quoting",TRUE,FALSE)</formula>
    </cfRule>
    <cfRule type="expression" dxfId="11584" priority="24683">
      <formula>IF($B31="Quoting",TRUE,FALSE)</formula>
    </cfRule>
    <cfRule type="expression" dxfId="11583" priority="24684">
      <formula>IF($B31="Quoting",TRUE,FALSE)</formula>
    </cfRule>
    <cfRule type="expression" dxfId="11582" priority="24685">
      <formula>IF($B31="Quoting",TRUE,FALSE)</formula>
    </cfRule>
    <cfRule type="expression" dxfId="11581" priority="24686">
      <formula>IF($B31="Quoting",TRUE,FALSE)</formula>
    </cfRule>
    <cfRule type="expression" dxfId="11580" priority="24687">
      <formula>IF($B31="Quoting",TRUE,FALSE)</formula>
    </cfRule>
    <cfRule type="expression" dxfId="11579" priority="24688">
      <formula>IF($B31="Quoting",TRUE,FALSE)</formula>
    </cfRule>
    <cfRule type="expression" dxfId="11578" priority="24689">
      <formula>IF($B31="Quoting",TRUE,FALSE)</formula>
    </cfRule>
    <cfRule type="expression" dxfId="11577" priority="24690">
      <formula>IF($B31="Quoting",TRUE,FALSE)</formula>
    </cfRule>
    <cfRule type="expression" dxfId="11576" priority="24691">
      <formula>IF($B31="Quoting",TRUE,FALSE)</formula>
    </cfRule>
    <cfRule type="expression" dxfId="11575" priority="24692">
      <formula>IF($B31="Quoting",TRUE,FALSE)</formula>
    </cfRule>
    <cfRule type="expression" dxfId="11574" priority="24693">
      <formula>IF($B31="Quoting",TRUE,FALSE)</formula>
    </cfRule>
    <cfRule type="expression" dxfId="11573" priority="24694">
      <formula>IF($B31="Quoting",TRUE,FALSE)</formula>
    </cfRule>
    <cfRule type="expression" dxfId="11572" priority="24695">
      <formula>IF($B31="Quoting",TRUE,FALSE)</formula>
    </cfRule>
    <cfRule type="expression" dxfId="11571" priority="24696">
      <formula>IF($B31="Quoting",TRUE,FALSE)</formula>
    </cfRule>
    <cfRule type="expression" dxfId="11570" priority="24697">
      <formula>IF($B31="Quoting",TRUE,FALSE)</formula>
    </cfRule>
    <cfRule type="expression" dxfId="11569" priority="24698">
      <formula>IF($B31="Quoting",TRUE,FALSE)</formula>
    </cfRule>
    <cfRule type="expression" dxfId="11568" priority="24699">
      <formula>IF($B31="Quoting",TRUE,FALSE)</formula>
    </cfRule>
    <cfRule type="expression" dxfId="11567" priority="24700">
      <formula>IF($B31="Quoting",TRUE,FALSE)</formula>
    </cfRule>
    <cfRule type="expression" dxfId="11566" priority="24701">
      <formula>IF($B31="Quoting",TRUE,FALSE)</formula>
    </cfRule>
    <cfRule type="expression" dxfId="11565" priority="24702">
      <formula>IF($B31="Quoting",TRUE,FALSE)</formula>
    </cfRule>
    <cfRule type="expression" dxfId="11564" priority="24703">
      <formula>IF($B31="Quoting",TRUE,FALSE)</formula>
    </cfRule>
    <cfRule type="expression" dxfId="11563" priority="24704">
      <formula>IF($B31="Quoting",TRUE,FALSE)</formula>
    </cfRule>
    <cfRule type="expression" dxfId="11562" priority="24705">
      <formula>IF($B31="Quoting",TRUE,FALSE)</formula>
    </cfRule>
    <cfRule type="expression" dxfId="11561" priority="24706">
      <formula>IF($B31="Quoting",TRUE,FALSE)</formula>
    </cfRule>
    <cfRule type="expression" dxfId="11560" priority="24707">
      <formula>IF($B31="Quoting",TRUE,FALSE)</formula>
    </cfRule>
    <cfRule type="expression" dxfId="11559" priority="24708">
      <formula>IF($B31="Quoting",TRUE,FALSE)</formula>
    </cfRule>
    <cfRule type="expression" dxfId="11558" priority="24709">
      <formula>IF($B31="Quoting",TRUE,FALSE)</formula>
    </cfRule>
    <cfRule type="expression" dxfId="11557" priority="24710">
      <formula>IF($B31="Quoting",TRUE,FALSE)</formula>
    </cfRule>
    <cfRule type="expression" dxfId="11556" priority="24711">
      <formula>IF($B31="Quoting",TRUE,FALSE)</formula>
    </cfRule>
    <cfRule type="expression" dxfId="11555" priority="24712">
      <formula>IF($B31="Quoting",TRUE,FALSE)</formula>
    </cfRule>
    <cfRule type="expression" dxfId="11554" priority="24713">
      <formula>IF($B31="Quoting",TRUE,FALSE)</formula>
    </cfRule>
    <cfRule type="expression" dxfId="11553" priority="24714">
      <formula>IF($B31="Quoting",TRUE,FALSE)</formula>
    </cfRule>
    <cfRule type="expression" dxfId="11552" priority="24715">
      <formula>IF($B31="Quoting",TRUE,FALSE)</formula>
    </cfRule>
    <cfRule type="expression" dxfId="11551" priority="24716">
      <formula>IF($B31="Quoting",TRUE,FALSE)</formula>
    </cfRule>
    <cfRule type="expression" dxfId="11550" priority="24717">
      <formula>IF($B31="Quoting",TRUE,FALSE)</formula>
    </cfRule>
    <cfRule type="expression" dxfId="11549" priority="24718">
      <formula>IF($B31="Quoting",TRUE,FALSE)</formula>
    </cfRule>
    <cfRule type="expression" dxfId="11548" priority="24719">
      <formula>IF($B31="Quoting",TRUE,FALSE)</formula>
    </cfRule>
    <cfRule type="expression" dxfId="11547" priority="24720">
      <formula>IF($B31="Quoting",TRUE,FALSE)</formula>
    </cfRule>
    <cfRule type="expression" dxfId="11546" priority="24721">
      <formula>IF($B31="Quoting",TRUE,FALSE)</formula>
    </cfRule>
    <cfRule type="expression" dxfId="11545" priority="24722">
      <formula>IF($B31="Quoting",TRUE,FALSE)</formula>
    </cfRule>
    <cfRule type="expression" dxfId="11544" priority="24723">
      <formula>IF($B31="Quoting",TRUE,FALSE)</formula>
    </cfRule>
    <cfRule type="expression" dxfId="11543" priority="24724">
      <formula>IF($B31="Quoting",TRUE,FALSE)</formula>
    </cfRule>
    <cfRule type="expression" dxfId="11542" priority="24725">
      <formula>IF($B31="Quoting",TRUE,FALSE)</formula>
    </cfRule>
    <cfRule type="expression" dxfId="11541" priority="24726">
      <formula>IF($B31="Quoting",TRUE,FALSE)</formula>
    </cfRule>
    <cfRule type="expression" dxfId="11540" priority="24727">
      <formula>IF($B31="Quoting",TRUE,FALSE)</formula>
    </cfRule>
    <cfRule type="expression" dxfId="11539" priority="24728">
      <formula>IF($B31="Quoting",TRUE,FALSE)</formula>
    </cfRule>
    <cfRule type="expression" dxfId="11538" priority="24729">
      <formula>IF($B31="Quoting",TRUE,FALSE)</formula>
    </cfRule>
    <cfRule type="expression" dxfId="11537" priority="24730">
      <formula>IF($B31="Quoting",TRUE,FALSE)</formula>
    </cfRule>
    <cfRule type="expression" dxfId="11536" priority="24731">
      <formula>IF($B31="Quoting",TRUE,FALSE)</formula>
    </cfRule>
    <cfRule type="expression" dxfId="11535" priority="24732">
      <formula>IF($B31="Quoting",TRUE,FALSE)</formula>
    </cfRule>
    <cfRule type="expression" dxfId="11534" priority="24733">
      <formula>IF($B31="Quoting",TRUE,FALSE)</formula>
    </cfRule>
    <cfRule type="expression" dxfId="11533" priority="24734">
      <formula>IF($B31="Quoting",TRUE,FALSE)</formula>
    </cfRule>
    <cfRule type="expression" dxfId="11532" priority="24735">
      <formula>IF($B31="Quoting",TRUE,FALSE)</formula>
    </cfRule>
    <cfRule type="expression" dxfId="11531" priority="24736">
      <formula>IF($B31="Quoting",TRUE,FALSE)</formula>
    </cfRule>
    <cfRule type="expression" dxfId="11530" priority="24737">
      <formula>IF($B31="Quoting",TRUE,FALSE)</formula>
    </cfRule>
    <cfRule type="expression" dxfId="11529" priority="24738">
      <formula>IF($B31="Quoting",TRUE,FALSE)</formula>
    </cfRule>
    <cfRule type="expression" dxfId="11528" priority="24739">
      <formula>IF($B31="Quoting",TRUE,FALSE)</formula>
    </cfRule>
    <cfRule type="expression" dxfId="11527" priority="24740">
      <formula>IF($B31="Quoting",TRUE,FALSE)</formula>
    </cfRule>
    <cfRule type="expression" dxfId="11526" priority="24741">
      <formula>IF($B31="Quoting",TRUE,FALSE)</formula>
    </cfRule>
    <cfRule type="expression" dxfId="11525" priority="24742">
      <formula>IF($B31="Quoting",TRUE,FALSE)</formula>
    </cfRule>
    <cfRule type="expression" dxfId="11524" priority="24743">
      <formula>IF($B31="Quoting",TRUE,FALSE)</formula>
    </cfRule>
    <cfRule type="expression" dxfId="11523" priority="24744">
      <formula>IF($B31="Quoting",TRUE,FALSE)</formula>
    </cfRule>
    <cfRule type="expression" dxfId="11522" priority="24745">
      <formula>IF($B31="Quoting",TRUE,FALSE)</formula>
    </cfRule>
    <cfRule type="expression" dxfId="11521" priority="24746">
      <formula>IF($B31="Quoting",TRUE,FALSE)</formula>
    </cfRule>
    <cfRule type="expression" dxfId="11520" priority="24747">
      <formula>IF($B31="Quoting",TRUE,FALSE)</formula>
    </cfRule>
    <cfRule type="expression" dxfId="11519" priority="24748">
      <formula>IF($B31="Quoting",TRUE,FALSE)</formula>
    </cfRule>
    <cfRule type="expression" dxfId="11518" priority="24749">
      <formula>IF($B31="Quoting",TRUE,FALSE)</formula>
    </cfRule>
    <cfRule type="expression" dxfId="11517" priority="24750">
      <formula>IF($B31="Quoting",TRUE,FALSE)</formula>
    </cfRule>
    <cfRule type="expression" dxfId="11516" priority="24751">
      <formula>IF($B31="Quoting",TRUE,FALSE)</formula>
    </cfRule>
    <cfRule type="expression" dxfId="11515" priority="24752">
      <formula>IF($B31="Quoting",TRUE,FALSE)</formula>
    </cfRule>
    <cfRule type="expression" dxfId="11514" priority="24753">
      <formula>IF($B31="Quoting",TRUE,FALSE)</formula>
    </cfRule>
    <cfRule type="expression" dxfId="11513" priority="24754">
      <formula>IF($B31="Quoting",TRUE,FALSE)</formula>
    </cfRule>
    <cfRule type="expression" dxfId="11512" priority="24755">
      <formula>IF($B31="Quoting",TRUE,FALSE)</formula>
    </cfRule>
    <cfRule type="expression" dxfId="11511" priority="24756">
      <formula>IF($B31="Quoting",TRUE,FALSE)</formula>
    </cfRule>
    <cfRule type="expression" dxfId="11510" priority="24757">
      <formula>IF($B31="Quoting",TRUE,FALSE)</formula>
    </cfRule>
    <cfRule type="expression" dxfId="11509" priority="24758">
      <formula>IF($B31="Quoting",TRUE,FALSE)</formula>
    </cfRule>
    <cfRule type="expression" dxfId="11508" priority="24759">
      <formula>IF($B31="Quoting",TRUE,FALSE)</formula>
    </cfRule>
    <cfRule type="expression" dxfId="11507" priority="24760">
      <formula>IF($B31="Quoting",TRUE,FALSE)</formula>
    </cfRule>
    <cfRule type="expression" dxfId="11506" priority="24761">
      <formula>IF($B31="Quoting",TRUE,FALSE)</formula>
    </cfRule>
    <cfRule type="expression" dxfId="11505" priority="24762">
      <formula>IF($B31="Quoting",TRUE,FALSE)</formula>
    </cfRule>
    <cfRule type="expression" dxfId="11504" priority="24763">
      <formula>IF($B31="Quoting",TRUE,FALSE)</formula>
    </cfRule>
    <cfRule type="expression" dxfId="11503" priority="24764">
      <formula>IF($B31="Quoting",TRUE,FALSE)</formula>
    </cfRule>
    <cfRule type="expression" dxfId="11502" priority="24765">
      <formula>IF($B31="Quoting",TRUE,FALSE)</formula>
    </cfRule>
    <cfRule type="expression" dxfId="11501" priority="24766">
      <formula>IF($B31="Quoting",TRUE,FALSE)</formula>
    </cfRule>
    <cfRule type="expression" dxfId="11500" priority="24767">
      <formula>IF($B31="Quoting",TRUE,FALSE)</formula>
    </cfRule>
    <cfRule type="expression" dxfId="11499" priority="24768">
      <formula>IF($B31="Quoting",TRUE,FALSE)</formula>
    </cfRule>
    <cfRule type="expression" dxfId="11498" priority="24769">
      <formula>IF($B31="Quoting",TRUE,FALSE)</formula>
    </cfRule>
    <cfRule type="expression" dxfId="11497" priority="24770">
      <formula>IF($B31="Quoting",TRUE,FALSE)</formula>
    </cfRule>
    <cfRule type="expression" dxfId="11496" priority="24771">
      <formula>IF($B31="Quoting",TRUE,FALSE)</formula>
    </cfRule>
    <cfRule type="expression" dxfId="11495" priority="24772">
      <formula>IF($B31="Quoting",TRUE,FALSE)</formula>
    </cfRule>
    <cfRule type="expression" dxfId="11494" priority="24773">
      <formula>IF($B31="Quoting",TRUE,FALSE)</formula>
    </cfRule>
    <cfRule type="expression" dxfId="11493" priority="24774">
      <formula>IF($B31="Quoting",TRUE,FALSE)</formula>
    </cfRule>
    <cfRule type="expression" dxfId="11492" priority="24775">
      <formula>IF($B31="Quoting",TRUE,FALSE)</formula>
    </cfRule>
    <cfRule type="expression" dxfId="11491" priority="24776">
      <formula>IF($B31="Quoting",TRUE,FALSE)</formula>
    </cfRule>
    <cfRule type="expression" dxfId="11490" priority="24777">
      <formula>IF($B31="Quoting",TRUE,FALSE)</formula>
    </cfRule>
    <cfRule type="expression" dxfId="11489" priority="24778">
      <formula>IF($B31="Quoting",TRUE,FALSE)</formula>
    </cfRule>
    <cfRule type="expression" dxfId="11488" priority="24779">
      <formula>IF($B31="Quoting",TRUE,FALSE)</formula>
    </cfRule>
    <cfRule type="expression" dxfId="11487" priority="24780">
      <formula>IF($B31="Quoting",TRUE,FALSE)</formula>
    </cfRule>
    <cfRule type="expression" dxfId="11486" priority="24781">
      <formula>IF($B31="Quoting",TRUE,FALSE)</formula>
    </cfRule>
    <cfRule type="expression" dxfId="11485" priority="24782">
      <formula>IF($B31="Quoting",TRUE,FALSE)</formula>
    </cfRule>
    <cfRule type="expression" dxfId="11484" priority="24783">
      <formula>IF($B31="Quoting",TRUE,FALSE)</formula>
    </cfRule>
    <cfRule type="expression" dxfId="11483" priority="24784">
      <formula>IF($B31="Quoting",TRUE,FALSE)</formula>
    </cfRule>
    <cfRule type="expression" dxfId="11482" priority="24785">
      <formula>IF($B31="Quoting",TRUE,FALSE)</formula>
    </cfRule>
    <cfRule type="expression" dxfId="11481" priority="24786">
      <formula>IF($B31="Quoting",TRUE,FALSE)</formula>
    </cfRule>
    <cfRule type="expression" dxfId="11480" priority="24787">
      <formula>IF($B31="Quoting",TRUE,FALSE)</formula>
    </cfRule>
    <cfRule type="expression" dxfId="11479" priority="24788">
      <formula>IF($B31="Quoting",TRUE,FALSE)</formula>
    </cfRule>
    <cfRule type="expression" dxfId="11478" priority="24789">
      <formula>IF($B31="Quoting",TRUE,FALSE)</formula>
    </cfRule>
    <cfRule type="expression" dxfId="11477" priority="24790">
      <formula>IF($B31="Quoting",TRUE,FALSE)</formula>
    </cfRule>
    <cfRule type="expression" dxfId="11476" priority="24791">
      <formula>IF($B31="Quoting",TRUE,FALSE)</formula>
    </cfRule>
    <cfRule type="expression" dxfId="11475" priority="24792">
      <formula>IF($B31="Quoting",TRUE,FALSE)</formula>
    </cfRule>
    <cfRule type="expression" dxfId="11474" priority="24793">
      <formula>IF($B31="Quoting",TRUE,FALSE)</formula>
    </cfRule>
    <cfRule type="expression" dxfId="11473" priority="24794">
      <formula>IF($B31="Quoting",TRUE,FALSE)</formula>
    </cfRule>
    <cfRule type="expression" dxfId="11472" priority="24795">
      <formula>IF($B31="Quoting",TRUE,FALSE)</formula>
    </cfRule>
    <cfRule type="expression" dxfId="11471" priority="24796">
      <formula>IF($B31="Quoting",TRUE,FALSE)</formula>
    </cfRule>
    <cfRule type="expression" dxfId="11470" priority="24797">
      <formula>IF($B31="Quoting",TRUE,FALSE)</formula>
    </cfRule>
    <cfRule type="expression" dxfId="11469" priority="24798">
      <formula>IF($B31="Quoting",TRUE,FALSE)</formula>
    </cfRule>
    <cfRule type="expression" dxfId="11468" priority="24799">
      <formula>IF($B31="Quoting",TRUE,FALSE)</formula>
    </cfRule>
    <cfRule type="expression" dxfId="11467" priority="24800">
      <formula>IF($B31="Quoting",TRUE,FALSE)</formula>
    </cfRule>
    <cfRule type="expression" dxfId="11466" priority="24801">
      <formula>IF($B31="Quoting",TRUE,FALSE)</formula>
    </cfRule>
    <cfRule type="expression" dxfId="11465" priority="24802">
      <formula>IF($B31="Quoting",TRUE,FALSE)</formula>
    </cfRule>
    <cfRule type="expression" dxfId="11464" priority="24803">
      <formula>IF($B31="Quoting",TRUE,FALSE)</formula>
    </cfRule>
    <cfRule type="expression" dxfId="11463" priority="24804">
      <formula>IF($B31="Quoting",TRUE,FALSE)</formula>
    </cfRule>
    <cfRule type="expression" dxfId="11462" priority="24805">
      <formula>IF($B31="Quoting",TRUE,FALSE)</formula>
    </cfRule>
    <cfRule type="expression" dxfId="11461" priority="24806">
      <formula>IF($B31="Quoting",TRUE,FALSE)</formula>
    </cfRule>
    <cfRule type="expression" dxfId="11460" priority="24807">
      <formula>IF($B31="Quoting",TRUE,FALSE)</formula>
    </cfRule>
    <cfRule type="expression" dxfId="11459" priority="24808">
      <formula>IF($B31="Quoting",TRUE,FALSE)</formula>
    </cfRule>
    <cfRule type="expression" dxfId="11458" priority="24809">
      <formula>IF($B31="Quoting",TRUE,FALSE)</formula>
    </cfRule>
    <cfRule type="expression" dxfId="11457" priority="24810">
      <formula>IF($B31="Quoting",TRUE,FALSE)</formula>
    </cfRule>
    <cfRule type="expression" dxfId="11456" priority="24811">
      <formula>IF($B31="Quoting",TRUE,FALSE)</formula>
    </cfRule>
    <cfRule type="expression" dxfId="11455" priority="24812">
      <formula>IF($B31="Quoting",TRUE,FALSE)</formula>
    </cfRule>
    <cfRule type="expression" dxfId="11454" priority="24813">
      <formula>IF($B31="Quoting",TRUE,FALSE)</formula>
    </cfRule>
    <cfRule type="expression" dxfId="11453" priority="24814">
      <formula>IF($B31="Quoting",TRUE,FALSE)</formula>
    </cfRule>
    <cfRule type="expression" dxfId="11452" priority="24815">
      <formula>IF($B31="Quoting",TRUE,FALSE)</formula>
    </cfRule>
    <cfRule type="expression" dxfId="11451" priority="24816">
      <formula>IF($B31="Quoting",TRUE,FALSE)</formula>
    </cfRule>
    <cfRule type="expression" dxfId="11450" priority="24817">
      <formula>IF($B31="Quoting",TRUE,FALSE)</formula>
    </cfRule>
    <cfRule type="expression" dxfId="11449" priority="24818">
      <formula>IF($B31="Quoting",TRUE,FALSE)</formula>
    </cfRule>
    <cfRule type="expression" dxfId="11448" priority="24819">
      <formula>IF($B31="Quoting",TRUE,FALSE)</formula>
    </cfRule>
    <cfRule type="expression" dxfId="11447" priority="24820">
      <formula>IF($B31="Quoting",TRUE,FALSE)</formula>
    </cfRule>
    <cfRule type="expression" dxfId="11446" priority="24821">
      <formula>IF($B31="Quoting",TRUE,FALSE)</formula>
    </cfRule>
    <cfRule type="expression" dxfId="11445" priority="24822">
      <formula>IF($B31="Quoting",TRUE,FALSE)</formula>
    </cfRule>
    <cfRule type="expression" dxfId="11444" priority="24823">
      <formula>IF($B31="Quoting",TRUE,FALSE)</formula>
    </cfRule>
    <cfRule type="expression" dxfId="11443" priority="24824">
      <formula>IF($B31="Quoting",TRUE,FALSE)</formula>
    </cfRule>
    <cfRule type="expression" dxfId="11442" priority="24825">
      <formula>IF($B31="Quoting",TRUE,FALSE)</formula>
    </cfRule>
    <cfRule type="expression" dxfId="11441" priority="24826">
      <formula>IF($B31="Quoting",TRUE,FALSE)</formula>
    </cfRule>
    <cfRule type="expression" dxfId="11440" priority="24827">
      <formula>IF($B31="Quoting",TRUE,FALSE)</formula>
    </cfRule>
    <cfRule type="expression" dxfId="11439" priority="24828">
      <formula>IF($B31="Quoting",TRUE,FALSE)</formula>
    </cfRule>
    <cfRule type="expression" dxfId="11438" priority="24829">
      <formula>IF($B31="Quoting",TRUE,FALSE)</formula>
    </cfRule>
    <cfRule type="expression" dxfId="11437" priority="24830">
      <formula>IF($B31="Quoting",TRUE,FALSE)</formula>
    </cfRule>
    <cfRule type="expression" dxfId="11436" priority="24831">
      <formula>IF($B31="Quoting",TRUE,FALSE)</formula>
    </cfRule>
    <cfRule type="expression" dxfId="11435" priority="24832">
      <formula>IF($B31="Quoting",TRUE,FALSE)</formula>
    </cfRule>
    <cfRule type="expression" dxfId="11434" priority="24833">
      <formula>IF($B31="Quoting",TRUE,FALSE)</formula>
    </cfRule>
    <cfRule type="expression" dxfId="11433" priority="24834">
      <formula>IF($B31="Quoting",TRUE,FALSE)</formula>
    </cfRule>
    <cfRule type="expression" dxfId="11432" priority="24835">
      <formula>IF($B31="Quoting",TRUE,FALSE)</formula>
    </cfRule>
    <cfRule type="expression" dxfId="11431" priority="24836">
      <formula>IF($B31="Quoting",TRUE,FALSE)</formula>
    </cfRule>
    <cfRule type="expression" dxfId="11430" priority="24837">
      <formula>IF($B31="Quoting",TRUE,FALSE)</formula>
    </cfRule>
    <cfRule type="expression" dxfId="11429" priority="24838">
      <formula>IF($B31="Quoting",TRUE,FALSE)</formula>
    </cfRule>
    <cfRule type="expression" dxfId="11428" priority="24839">
      <formula>IF($B31="Quoting",TRUE,FALSE)</formula>
    </cfRule>
    <cfRule type="expression" dxfId="11427" priority="24840">
      <formula>IF($B31="Quoting",TRUE,FALSE)</formula>
    </cfRule>
    <cfRule type="expression" dxfId="11426" priority="24841">
      <formula>IF($B31="Quoting",TRUE,FALSE)</formula>
    </cfRule>
    <cfRule type="expression" dxfId="11425" priority="24842">
      <formula>IF($B31="Quoting",TRUE,FALSE)</formula>
    </cfRule>
    <cfRule type="expression" dxfId="11424" priority="24843">
      <formula>IF($B31="Quoting",TRUE,FALSE)</formula>
    </cfRule>
    <cfRule type="expression" dxfId="11423" priority="24844">
      <formula>IF($B31="Quoting",TRUE,FALSE)</formula>
    </cfRule>
    <cfRule type="expression" dxfId="11422" priority="24845">
      <formula>IF($B31="Quoting",TRUE,FALSE)</formula>
    </cfRule>
    <cfRule type="expression" dxfId="11421" priority="24846">
      <formula>IF($B31="Quoting",TRUE,FALSE)</formula>
    </cfRule>
    <cfRule type="expression" dxfId="11420" priority="24847">
      <formula>IF($B31="Quoting",TRUE,FALSE)</formula>
    </cfRule>
    <cfRule type="expression" dxfId="11419" priority="24848">
      <formula>IF($B31="Quoting",TRUE,FALSE)</formula>
    </cfRule>
    <cfRule type="expression" dxfId="11418" priority="24849">
      <formula>IF($B31="Quoting",TRUE,FALSE)</formula>
    </cfRule>
    <cfRule type="expression" dxfId="11417" priority="24850">
      <formula>IF($B31="Quoting",TRUE,FALSE)</formula>
    </cfRule>
    <cfRule type="expression" dxfId="11416" priority="24851">
      <formula>IF($B31="Quoting",TRUE,FALSE)</formula>
    </cfRule>
    <cfRule type="expression" dxfId="11415" priority="24852">
      <formula>IF($B31="Quoting",TRUE,FALSE)</formula>
    </cfRule>
    <cfRule type="expression" dxfId="11414" priority="24853">
      <formula>IF($B31="Quoting",TRUE,FALSE)</formula>
    </cfRule>
    <cfRule type="expression" dxfId="11413" priority="24854">
      <formula>IF($B31="Quoting",TRUE,FALSE)</formula>
    </cfRule>
    <cfRule type="expression" dxfId="11412" priority="24855">
      <formula>IF($B31="Quoting",TRUE,FALSE)</formula>
    </cfRule>
    <cfRule type="expression" dxfId="11411" priority="24856">
      <formula>IF($B31="Quoting",TRUE,FALSE)</formula>
    </cfRule>
    <cfRule type="expression" dxfId="11410" priority="24857">
      <formula>IF($B31="Quoting",TRUE,FALSE)</formula>
    </cfRule>
    <cfRule type="expression" dxfId="11409" priority="24858">
      <formula>IF($B31="Quoting",TRUE,FALSE)</formula>
    </cfRule>
    <cfRule type="expression" dxfId="11408" priority="24859">
      <formula>IF($B31="Quoting",TRUE,FALSE)</formula>
    </cfRule>
    <cfRule type="expression" dxfId="11407" priority="24860">
      <formula>IF($B31="Quoting",TRUE,FALSE)</formula>
    </cfRule>
    <cfRule type="expression" dxfId="11406" priority="24861">
      <formula>IF($B31="Quoting",TRUE,FALSE)</formula>
    </cfRule>
    <cfRule type="expression" dxfId="11405" priority="24862">
      <formula>IF($B31="Quoting",TRUE,FALSE)</formula>
    </cfRule>
    <cfRule type="expression" dxfId="11404" priority="24863">
      <formula>IF($B31="Quoting",TRUE,FALSE)</formula>
    </cfRule>
    <cfRule type="expression" dxfId="11403" priority="24864">
      <formula>IF($B31="Quoting",TRUE,FALSE)</formula>
    </cfRule>
    <cfRule type="expression" dxfId="11402" priority="24865">
      <formula>IF($B31="Quoting",TRUE,FALSE)</formula>
    </cfRule>
    <cfRule type="expression" dxfId="11401" priority="24866">
      <formula>IF($B31="Quoting",TRUE,FALSE)</formula>
    </cfRule>
    <cfRule type="expression" dxfId="11400" priority="24867">
      <formula>IF($B31="Quoting",TRUE,FALSE)</formula>
    </cfRule>
    <cfRule type="expression" dxfId="11399" priority="24868">
      <formula>IF($B31="Quoting",TRUE,FALSE)</formula>
    </cfRule>
    <cfRule type="expression" dxfId="11398" priority="24869">
      <formula>IF($B31="Quoting",TRUE,FALSE)</formula>
    </cfRule>
    <cfRule type="expression" dxfId="11397" priority="24870">
      <formula>IF($B31="Quoting",TRUE,FALSE)</formula>
    </cfRule>
    <cfRule type="expression" dxfId="11396" priority="24871">
      <formula>IF($B31="Quoting",TRUE,FALSE)</formula>
    </cfRule>
    <cfRule type="expression" dxfId="11395" priority="24872">
      <formula>IF($B31="Quoting",TRUE,FALSE)</formula>
    </cfRule>
    <cfRule type="expression" dxfId="11394" priority="24873">
      <formula>IF($B31="Quoting",TRUE,FALSE)</formula>
    </cfRule>
    <cfRule type="expression" dxfId="11393" priority="24874">
      <formula>IF($B31="Quoting",TRUE,FALSE)</formula>
    </cfRule>
    <cfRule type="expression" dxfId="11392" priority="24875">
      <formula>IF($B31="Quoting",TRUE,FALSE)</formula>
    </cfRule>
    <cfRule type="expression" dxfId="11391" priority="24876">
      <formula>IF($B31="Quoting",TRUE,FALSE)</formula>
    </cfRule>
    <cfRule type="expression" dxfId="11390" priority="24877">
      <formula>IF($B31="Quoting",TRUE,FALSE)</formula>
    </cfRule>
    <cfRule type="expression" dxfId="11389" priority="24878">
      <formula>IF($B31="Quoting",TRUE,FALSE)</formula>
    </cfRule>
    <cfRule type="expression" dxfId="11388" priority="24879">
      <formula>IF($B31="Quoting",TRUE,FALSE)</formula>
    </cfRule>
    <cfRule type="expression" dxfId="11387" priority="24880">
      <formula>IF($B31="Quoting",TRUE,FALSE)</formula>
    </cfRule>
    <cfRule type="expression" dxfId="11386" priority="24881">
      <formula>IF($B31="Quoting",TRUE,FALSE)</formula>
    </cfRule>
    <cfRule type="expression" dxfId="11385" priority="24882">
      <formula>IF($B31="Quoting",TRUE,FALSE)</formula>
    </cfRule>
    <cfRule type="expression" dxfId="11384" priority="24883">
      <formula>IF($B31="Quoting",TRUE,FALSE)</formula>
    </cfRule>
    <cfRule type="expression" dxfId="11383" priority="24884">
      <formula>IF($B31="Quoting",TRUE,FALSE)</formula>
    </cfRule>
    <cfRule type="expression" dxfId="11382" priority="24885">
      <formula>IF($B31="Quoting",TRUE,FALSE)</formula>
    </cfRule>
    <cfRule type="expression" dxfId="11381" priority="24886">
      <formula>IF($B31="Quoting",TRUE,FALSE)</formula>
    </cfRule>
    <cfRule type="expression" dxfId="11380" priority="24887">
      <formula>IF($B31="Quoting",TRUE,FALSE)</formula>
    </cfRule>
    <cfRule type="expression" dxfId="11379" priority="24888">
      <formula>IF($B31="Quoting",TRUE,FALSE)</formula>
    </cfRule>
    <cfRule type="expression" dxfId="11378" priority="24889">
      <formula>IF($B31="Quoting",TRUE,FALSE)</formula>
    </cfRule>
    <cfRule type="expression" dxfId="11377" priority="24890">
      <formula>IF($B31="Quoting",TRUE,FALSE)</formula>
    </cfRule>
    <cfRule type="expression" dxfId="11376" priority="24891">
      <formula>IF($B31="Quoting",TRUE,FALSE)</formula>
    </cfRule>
    <cfRule type="expression" dxfId="11375" priority="24892">
      <formula>IF($B31="Quoting",TRUE,FALSE)</formula>
    </cfRule>
    <cfRule type="expression" dxfId="11374" priority="24893">
      <formula>IF($B31="Quoting",TRUE,FALSE)</formula>
    </cfRule>
    <cfRule type="expression" dxfId="11373" priority="24894">
      <formula>IF($B31="Quoting",TRUE,FALSE)</formula>
    </cfRule>
    <cfRule type="expression" dxfId="11372" priority="24895">
      <formula>IF($B31="Quoting",TRUE,FALSE)</formula>
    </cfRule>
    <cfRule type="expression" dxfId="11371" priority="24896">
      <formula>IF($B31="Quoting",TRUE,FALSE)</formula>
    </cfRule>
    <cfRule type="expression" dxfId="11370" priority="24897">
      <formula>IF($B31="Quoting",TRUE,FALSE)</formula>
    </cfRule>
    <cfRule type="expression" dxfId="11369" priority="24898">
      <formula>IF($B31="Quoting",TRUE,FALSE)</formula>
    </cfRule>
    <cfRule type="expression" dxfId="11368" priority="24899">
      <formula>IF($B31="Quoting",TRUE,FALSE)</formula>
    </cfRule>
    <cfRule type="expression" dxfId="11367" priority="24900">
      <formula>IF($B31="Quoting",TRUE,FALSE)</formula>
    </cfRule>
    <cfRule type="expression" dxfId="11366" priority="24901">
      <formula>IF($B31="Quoting",TRUE,FALSE)</formula>
    </cfRule>
    <cfRule type="expression" dxfId="11365" priority="24902">
      <formula>IF($B31="Quoting",TRUE,FALSE)</formula>
    </cfRule>
    <cfRule type="expression" dxfId="11364" priority="24903">
      <formula>IF($B31="Quoting",TRUE,FALSE)</formula>
    </cfRule>
    <cfRule type="expression" dxfId="11363" priority="24904">
      <formula>IF($B31="Quoting",TRUE,FALSE)</formula>
    </cfRule>
    <cfRule type="expression" dxfId="11362" priority="24905">
      <formula>IF($B31="Quoting",TRUE,FALSE)</formula>
    </cfRule>
    <cfRule type="expression" dxfId="11361" priority="24906">
      <formula>IF($B31="Quoting",TRUE,FALSE)</formula>
    </cfRule>
    <cfRule type="expression" dxfId="11360" priority="24907">
      <formula>IF($B31="Quoting",TRUE,FALSE)</formula>
    </cfRule>
    <cfRule type="expression" dxfId="11359" priority="24908">
      <formula>IF($B31="Quoting",TRUE,FALSE)</formula>
    </cfRule>
    <cfRule type="expression" dxfId="11358" priority="24909">
      <formula>IF($B31="Quoting",TRUE,FALSE)</formula>
    </cfRule>
    <cfRule type="expression" dxfId="11357" priority="24910">
      <formula>IF($B31="Quoting",TRUE,FALSE)</formula>
    </cfRule>
    <cfRule type="expression" dxfId="11356" priority="24911">
      <formula>IF($B31="Quoting",TRUE,FALSE)</formula>
    </cfRule>
    <cfRule type="expression" dxfId="11355" priority="24912">
      <formula>IF($B31="Quoting",TRUE,FALSE)</formula>
    </cfRule>
    <cfRule type="expression" dxfId="11354" priority="24913">
      <formula>IF($B31="Quoting",TRUE,FALSE)</formula>
    </cfRule>
    <cfRule type="expression" dxfId="11353" priority="24914">
      <formula>IF($B31="Quoting",TRUE,FALSE)</formula>
    </cfRule>
    <cfRule type="expression" dxfId="11352" priority="24915">
      <formula>IF($B31="Quoting",TRUE,FALSE)</formula>
    </cfRule>
    <cfRule type="expression" dxfId="11351" priority="24916">
      <formula>IF($B31="Quoting",TRUE,FALSE)</formula>
    </cfRule>
    <cfRule type="expression" dxfId="11350" priority="24917">
      <formula>IF($B31="Quoting",TRUE,FALSE)</formula>
    </cfRule>
    <cfRule type="expression" dxfId="11349" priority="24918">
      <formula>IF($B31="Quoting",TRUE,FALSE)</formula>
    </cfRule>
    <cfRule type="expression" dxfId="11348" priority="24919">
      <formula>IF($B31="Quoting",TRUE,FALSE)</formula>
    </cfRule>
    <cfRule type="expression" dxfId="11347" priority="24920">
      <formula>IF($B31="Quoting",TRUE,FALSE)</formula>
    </cfRule>
    <cfRule type="expression" dxfId="11346" priority="24921">
      <formula>IF($B31="Quoting",TRUE,FALSE)</formula>
    </cfRule>
    <cfRule type="expression" dxfId="11345" priority="24922">
      <formula>IF($B31="Quoting",TRUE,FALSE)</formula>
    </cfRule>
    <cfRule type="expression" dxfId="11344" priority="24923">
      <formula>IF($B31="Quoting",TRUE,FALSE)</formula>
    </cfRule>
    <cfRule type="expression" dxfId="11343" priority="24924">
      <formula>IF($B31="Quoting",TRUE,FALSE)</formula>
    </cfRule>
    <cfRule type="expression" dxfId="11342" priority="24925">
      <formula>IF($B31="Quoting",TRUE,FALSE)</formula>
    </cfRule>
    <cfRule type="expression" dxfId="11341" priority="24926">
      <formula>IF($B31="Quoting",TRUE,FALSE)</formula>
    </cfRule>
    <cfRule type="expression" dxfId="11340" priority="24927">
      <formula>IF($B31="Quoting",TRUE,FALSE)</formula>
    </cfRule>
    <cfRule type="expression" dxfId="11339" priority="24928">
      <formula>IF($B31="Quoting",TRUE,FALSE)</formula>
    </cfRule>
    <cfRule type="expression" dxfId="11338" priority="24929">
      <formula>IF($B31="Quoting",TRUE,FALSE)</formula>
    </cfRule>
    <cfRule type="expression" dxfId="11337" priority="24930">
      <formula>IF($B31="Quoting",TRUE,FALSE)</formula>
    </cfRule>
    <cfRule type="expression" dxfId="11336" priority="24931">
      <formula>IF($B31="Quoting",TRUE,FALSE)</formula>
    </cfRule>
    <cfRule type="expression" dxfId="11335" priority="24932">
      <formula>IF($B31="Quoting",TRUE,FALSE)</formula>
    </cfRule>
    <cfRule type="expression" dxfId="11334" priority="24933">
      <formula>IF($B31="Quoting",TRUE,FALSE)</formula>
    </cfRule>
    <cfRule type="expression" dxfId="11333" priority="24934">
      <formula>IF($B31="Quoting",TRUE,FALSE)</formula>
    </cfRule>
    <cfRule type="expression" dxfId="11332" priority="24935">
      <formula>IF($B31="Quoting",TRUE,FALSE)</formula>
    </cfRule>
    <cfRule type="expression" dxfId="11331" priority="24936">
      <formula>IF($B31="Quoting",TRUE,FALSE)</formula>
    </cfRule>
    <cfRule type="expression" dxfId="11330" priority="24937">
      <formula>IF($B31="Quoting",TRUE,FALSE)</formula>
    </cfRule>
    <cfRule type="expression" dxfId="11329" priority="24938">
      <formula>IF($B31="Quoting",TRUE,FALSE)</formula>
    </cfRule>
    <cfRule type="expression" dxfId="11328" priority="24939">
      <formula>IF($B31="Quoting",TRUE,FALSE)</formula>
    </cfRule>
    <cfRule type="expression" dxfId="11327" priority="24940">
      <formula>IF($B31="Quoting",TRUE,FALSE)</formula>
    </cfRule>
    <cfRule type="expression" dxfId="11326" priority="24941">
      <formula>IF($B31="Quoting",TRUE,FALSE)</formula>
    </cfRule>
    <cfRule type="expression" dxfId="11325" priority="24942">
      <formula>IF($B31="Quoting",TRUE,FALSE)</formula>
    </cfRule>
    <cfRule type="expression" dxfId="11324" priority="24943">
      <formula>IF($B31="Quoting",TRUE,FALSE)</formula>
    </cfRule>
    <cfRule type="expression" dxfId="11323" priority="24944">
      <formula>IF($B31="Quoting",TRUE,FALSE)</formula>
    </cfRule>
    <cfRule type="expression" dxfId="11322" priority="24945">
      <formula>IF($B31="Quoting",TRUE,FALSE)</formula>
    </cfRule>
    <cfRule type="expression" dxfId="11321" priority="24946">
      <formula>IF($B31="Quoting",TRUE,FALSE)</formula>
    </cfRule>
    <cfRule type="expression" dxfId="11320" priority="24947">
      <formula>IF($B31="Quoting",TRUE,FALSE)</formula>
    </cfRule>
    <cfRule type="expression" dxfId="11319" priority="24948">
      <formula>IF($B31="Quoting",TRUE,FALSE)</formula>
    </cfRule>
    <cfRule type="expression" dxfId="11318" priority="24949">
      <formula>IF($B31="Quoting",TRUE,FALSE)</formula>
    </cfRule>
    <cfRule type="expression" dxfId="11317" priority="24950">
      <formula>IF($B31="Quoting",TRUE,FALSE)</formula>
    </cfRule>
    <cfRule type="expression" dxfId="11316" priority="24951">
      <formula>IF($B31="Quoting",TRUE,FALSE)</formula>
    </cfRule>
    <cfRule type="expression" dxfId="11315" priority="24952">
      <formula>IF($B31="Quoting",TRUE,FALSE)</formula>
    </cfRule>
    <cfRule type="expression" dxfId="11314" priority="24953">
      <formula>IF($B31="Quoting",TRUE,FALSE)</formula>
    </cfRule>
    <cfRule type="expression" dxfId="11313" priority="24954">
      <formula>IF($B31="Quoting",TRUE,FALSE)</formula>
    </cfRule>
    <cfRule type="expression" dxfId="11312" priority="24955">
      <formula>IF($B31="Quoting",TRUE,FALSE)</formula>
    </cfRule>
    <cfRule type="expression" dxfId="11311" priority="24956">
      <formula>IF($B31="Quoting",TRUE,FALSE)</formula>
    </cfRule>
    <cfRule type="expression" dxfId="11310" priority="24957">
      <formula>IF($B31="Quoting",TRUE,FALSE)</formula>
    </cfRule>
    <cfRule type="expression" dxfId="11309" priority="24958">
      <formula>IF($B31="Quoting",TRUE,FALSE)</formula>
    </cfRule>
    <cfRule type="expression" dxfId="11308" priority="24959">
      <formula>IF($B31="Quoting",TRUE,FALSE)</formula>
    </cfRule>
    <cfRule type="expression" dxfId="11307" priority="24960">
      <formula>IF($B31="Quoting",TRUE,FALSE)</formula>
    </cfRule>
    <cfRule type="expression" dxfId="11306" priority="24961">
      <formula>IF($B31="Quoting",TRUE,FALSE)</formula>
    </cfRule>
    <cfRule type="expression" dxfId="11305" priority="24962">
      <formula>IF($B31="Quoting",TRUE,FALSE)</formula>
    </cfRule>
    <cfRule type="expression" dxfId="11304" priority="24963">
      <formula>IF($B31="Quoting",TRUE,FALSE)</formula>
    </cfRule>
    <cfRule type="expression" dxfId="11303" priority="24964">
      <formula>IF($B31="Quoting",TRUE,FALSE)</formula>
    </cfRule>
    <cfRule type="expression" dxfId="11302" priority="24965">
      <formula>IF($B31="Quoting",TRUE,FALSE)</formula>
    </cfRule>
    <cfRule type="expression" dxfId="11301" priority="24966">
      <formula>IF($B31="Quoting",TRUE,FALSE)</formula>
    </cfRule>
    <cfRule type="expression" dxfId="11300" priority="24967">
      <formula>IF($B31="Quoting",TRUE,FALSE)</formula>
    </cfRule>
    <cfRule type="expression" dxfId="11299" priority="24968">
      <formula>IF($B31="Quoting",TRUE,FALSE)</formula>
    </cfRule>
    <cfRule type="expression" dxfId="11298" priority="24969">
      <formula>IF($B31="Quoting",TRUE,FALSE)</formula>
    </cfRule>
    <cfRule type="expression" dxfId="11297" priority="24970">
      <formula>IF($B31="Quoting",TRUE,FALSE)</formula>
    </cfRule>
    <cfRule type="expression" dxfId="11296" priority="24971">
      <formula>IF($B31="Quoting",TRUE,FALSE)</formula>
    </cfRule>
    <cfRule type="expression" dxfId="11295" priority="24972">
      <formula>IF($B31="Quoting",TRUE,FALSE)</formula>
    </cfRule>
    <cfRule type="expression" dxfId="11294" priority="24973">
      <formula>IF($B31="Quoting",TRUE,FALSE)</formula>
    </cfRule>
    <cfRule type="expression" dxfId="11293" priority="24974">
      <formula>IF($B31="Quoting",TRUE,FALSE)</formula>
    </cfRule>
    <cfRule type="expression" dxfId="11292" priority="24975">
      <formula>IF($B31="Quoting",TRUE,FALSE)</formula>
    </cfRule>
    <cfRule type="expression" dxfId="11291" priority="24976">
      <formula>IF($B31="Quoting",TRUE,FALSE)</formula>
    </cfRule>
    <cfRule type="expression" dxfId="11290" priority="24977">
      <formula>IF($B31="Quoting",TRUE,FALSE)</formula>
    </cfRule>
    <cfRule type="expression" dxfId="11289" priority="24978">
      <formula>IF($B31="Quoting",TRUE,FALSE)</formula>
    </cfRule>
    <cfRule type="expression" dxfId="11288" priority="24979">
      <formula>IF($B31="Quoting",TRUE,FALSE)</formula>
    </cfRule>
    <cfRule type="expression" dxfId="11287" priority="24980">
      <formula>IF($B31="Quoting",TRUE,FALSE)</formula>
    </cfRule>
    <cfRule type="expression" dxfId="11286" priority="24981">
      <formula>IF($B31="Quoting",TRUE,FALSE)</formula>
    </cfRule>
    <cfRule type="expression" dxfId="11285" priority="24982">
      <formula>IF($B31="Quoting",TRUE,FALSE)</formula>
    </cfRule>
    <cfRule type="expression" dxfId="11284" priority="24983">
      <formula>IF($B31="Quoting",TRUE,FALSE)</formula>
    </cfRule>
    <cfRule type="expression" dxfId="11283" priority="24984">
      <formula>IF($B31="Quoting",TRUE,FALSE)</formula>
    </cfRule>
    <cfRule type="expression" dxfId="11282" priority="24985">
      <formula>IF($B31="Quoting",TRUE,FALSE)</formula>
    </cfRule>
    <cfRule type="expression" dxfId="11281" priority="24986">
      <formula>IF($B31="Quoting",TRUE,FALSE)</formula>
    </cfRule>
    <cfRule type="expression" dxfId="11280" priority="24987">
      <formula>IF($B31="Quoting",TRUE,FALSE)</formula>
    </cfRule>
    <cfRule type="expression" dxfId="11279" priority="24988">
      <formula>IF($B31="Quoting",TRUE,FALSE)</formula>
    </cfRule>
    <cfRule type="expression" dxfId="11278" priority="24989">
      <formula>IF($B31="Quoting",TRUE,FALSE)</formula>
    </cfRule>
    <cfRule type="expression" dxfId="11277" priority="24990">
      <formula>IF($B31="Quoting",TRUE,FALSE)</formula>
    </cfRule>
    <cfRule type="expression" dxfId="11276" priority="24991">
      <formula>IF($B31="Quoting",TRUE,FALSE)</formula>
    </cfRule>
    <cfRule type="expression" dxfId="11275" priority="24992">
      <formula>IF($B31="Quoting",TRUE,FALSE)</formula>
    </cfRule>
    <cfRule type="expression" dxfId="11274" priority="24993">
      <formula>IF($B31="Quoting",TRUE,FALSE)</formula>
    </cfRule>
    <cfRule type="expression" dxfId="11273" priority="24994">
      <formula>IF($B31="Quoting",TRUE,FALSE)</formula>
    </cfRule>
    <cfRule type="expression" dxfId="11272" priority="24995">
      <formula>IF($B31="Quoting",TRUE,FALSE)</formula>
    </cfRule>
    <cfRule type="expression" dxfId="11271" priority="24996">
      <formula>IF($B31="Quoting",TRUE,FALSE)</formula>
    </cfRule>
    <cfRule type="expression" dxfId="11270" priority="24997">
      <formula>IF($B31="Quoting",TRUE,FALSE)</formula>
    </cfRule>
    <cfRule type="expression" dxfId="11269" priority="24998">
      <formula>IF($B31="Quoting",TRUE,FALSE)</formula>
    </cfRule>
    <cfRule type="expression" dxfId="11268" priority="24999">
      <formula>IF($B31="Quoting",TRUE,FALSE)</formula>
    </cfRule>
    <cfRule type="expression" dxfId="11267" priority="25000">
      <formula>IF($B31="Quoting",TRUE,FALSE)</formula>
    </cfRule>
    <cfRule type="expression" dxfId="11266" priority="25001">
      <formula>IF($B31="Quoting",TRUE,FALSE)</formula>
    </cfRule>
    <cfRule type="expression" dxfId="11265" priority="25002">
      <formula>IF($B31="Quoting",TRUE,FALSE)</formula>
    </cfRule>
    <cfRule type="expression" dxfId="11264" priority="25003">
      <formula>IF($B31="Quoting",TRUE,FALSE)</formula>
    </cfRule>
    <cfRule type="expression" dxfId="11263" priority="25004">
      <formula>IF($B31="Quoting",TRUE,FALSE)</formula>
    </cfRule>
    <cfRule type="expression" dxfId="11262" priority="25005">
      <formula>IF($B31="Quoting",TRUE,FALSE)</formula>
    </cfRule>
    <cfRule type="expression" dxfId="11261" priority="25006">
      <formula>IF($B31="Quoting",TRUE,FALSE)</formula>
    </cfRule>
    <cfRule type="expression" dxfId="11260" priority="25007">
      <formula>IF($B31="Quoting",TRUE,FALSE)</formula>
    </cfRule>
    <cfRule type="expression" dxfId="11259" priority="25008">
      <formula>IF($B31="Quoting",TRUE,FALSE)</formula>
    </cfRule>
    <cfRule type="expression" dxfId="11258" priority="25009">
      <formula>IF($B31="Quoting",TRUE,FALSE)</formula>
    </cfRule>
    <cfRule type="expression" dxfId="11257" priority="25010">
      <formula>IF($B31="Quoting",TRUE,FALSE)</formula>
    </cfRule>
    <cfRule type="expression" dxfId="11256" priority="25011">
      <formula>IF($B31="Quoting",TRUE,FALSE)</formula>
    </cfRule>
    <cfRule type="expression" dxfId="11255" priority="25012">
      <formula>IF($B31="Quoting",TRUE,FALSE)</formula>
    </cfRule>
    <cfRule type="expression" dxfId="11254" priority="25013">
      <formula>IF($B31="Quoting",TRUE,FALSE)</formula>
    </cfRule>
    <cfRule type="expression" dxfId="11253" priority="25014">
      <formula>IF($B31="Quoting",TRUE,FALSE)</formula>
    </cfRule>
    <cfRule type="expression" dxfId="11252" priority="25015">
      <formula>IF($B31="Quoting",TRUE,FALSE)</formula>
    </cfRule>
    <cfRule type="expression" dxfId="11251" priority="25016">
      <formula>IF($B31="Quoting",TRUE,FALSE)</formula>
    </cfRule>
    <cfRule type="expression" dxfId="11250" priority="25017">
      <formula>IF($B31="Quoting",TRUE,FALSE)</formula>
    </cfRule>
    <cfRule type="expression" dxfId="11249" priority="25018">
      <formula>IF($B31="Quoting",TRUE,FALSE)</formula>
    </cfRule>
    <cfRule type="expression" dxfId="11248" priority="25019">
      <formula>IF($B31="Quoting",TRUE,FALSE)</formula>
    </cfRule>
    <cfRule type="expression" dxfId="11247" priority="25020">
      <formula>IF($B31="Quoting",TRUE,FALSE)</formula>
    </cfRule>
    <cfRule type="expression" dxfId="11246" priority="25021">
      <formula>IF($B31="Quoting",TRUE,FALSE)</formula>
    </cfRule>
    <cfRule type="expression" dxfId="11245" priority="25022">
      <formula>IF($B31="Quoting",TRUE,FALSE)</formula>
    </cfRule>
    <cfRule type="expression" dxfId="11244" priority="25023">
      <formula>IF($B31="Quoting",TRUE,FALSE)</formula>
    </cfRule>
    <cfRule type="expression" dxfId="11243" priority="25024">
      <formula>IF($B31="Quoting",TRUE,FALSE)</formula>
    </cfRule>
    <cfRule type="expression" dxfId="11242" priority="25025">
      <formula>IF($B31="Quoting",TRUE,FALSE)</formula>
    </cfRule>
    <cfRule type="expression" dxfId="11241" priority="25026">
      <formula>IF($B31="Quoting",TRUE,FALSE)</formula>
    </cfRule>
    <cfRule type="expression" dxfId="11240" priority="25027">
      <formula>IF($B31="Quoting",TRUE,FALSE)</formula>
    </cfRule>
    <cfRule type="expression" dxfId="11239" priority="25028">
      <formula>IF($B31="Quoting",TRUE,FALSE)</formula>
    </cfRule>
    <cfRule type="expression" dxfId="11238" priority="25029">
      <formula>IF($B31="Quoting",TRUE,FALSE)</formula>
    </cfRule>
    <cfRule type="expression" dxfId="11237" priority="25030">
      <formula>IF($B31="Quoting",TRUE,FALSE)</formula>
    </cfRule>
    <cfRule type="expression" dxfId="11236" priority="25031">
      <formula>IF($B31="Quoting",TRUE,FALSE)</formula>
    </cfRule>
    <cfRule type="expression" dxfId="11235" priority="25032">
      <formula>IF($B31="Quoting",TRUE,FALSE)</formula>
    </cfRule>
    <cfRule type="expression" dxfId="11234" priority="25033">
      <formula>IF($B31="Quoting",TRUE,FALSE)</formula>
    </cfRule>
    <cfRule type="expression" dxfId="11233" priority="25034">
      <formula>IF($B31="Quoting",TRUE,FALSE)</formula>
    </cfRule>
    <cfRule type="expression" dxfId="11232" priority="25035">
      <formula>IF($B31="Quoting",TRUE,FALSE)</formula>
    </cfRule>
    <cfRule type="expression" dxfId="11231" priority="25036">
      <formula>IF($B31="Quoting",TRUE,FALSE)</formula>
    </cfRule>
    <cfRule type="expression" dxfId="11230" priority="25037">
      <formula>IF($B31="Quoting",TRUE,FALSE)</formula>
    </cfRule>
    <cfRule type="expression" dxfId="11229" priority="25038">
      <formula>IF($B31="Quoting",TRUE,FALSE)</formula>
    </cfRule>
    <cfRule type="expression" dxfId="11228" priority="25039">
      <formula>IF($B31="Quoting",TRUE,FALSE)</formula>
    </cfRule>
    <cfRule type="expression" dxfId="11227" priority="25040">
      <formula>IF($B31="Quoting",TRUE,FALSE)</formula>
    </cfRule>
    <cfRule type="expression" dxfId="11226" priority="25041">
      <formula>IF($B31="Quoting",TRUE,FALSE)</formula>
    </cfRule>
    <cfRule type="expression" dxfId="11225" priority="25042">
      <formula>IF($B31="Quoting",TRUE,FALSE)</formula>
    </cfRule>
    <cfRule type="expression" dxfId="11224" priority="25043">
      <formula>IF($B31="Quoting",TRUE,FALSE)</formula>
    </cfRule>
    <cfRule type="expression" dxfId="11223" priority="25044">
      <formula>IF($B31="Quoting",TRUE,FALSE)</formula>
    </cfRule>
    <cfRule type="expression" dxfId="11222" priority="25045">
      <formula>IF($B31="Quoting",TRUE,FALSE)</formula>
    </cfRule>
    <cfRule type="expression" dxfId="11221" priority="25046">
      <formula>IF($B31="Quoting",TRUE,FALSE)</formula>
    </cfRule>
    <cfRule type="expression" dxfId="11220" priority="25047">
      <formula>IF($B31="Quoting",TRUE,FALSE)</formula>
    </cfRule>
    <cfRule type="expression" dxfId="11219" priority="25048">
      <formula>IF($B31="Quoting",TRUE,FALSE)</formula>
    </cfRule>
    <cfRule type="expression" dxfId="11218" priority="25049">
      <formula>IF($B31="Quoting",TRUE,FALSE)</formula>
    </cfRule>
    <cfRule type="expression" dxfId="11217" priority="25050">
      <formula>IF($B31="Quoting",TRUE,FALSE)</formula>
    </cfRule>
    <cfRule type="expression" dxfId="11216" priority="25051">
      <formula>IF($B31="Quoting",TRUE,FALSE)</formula>
    </cfRule>
    <cfRule type="expression" dxfId="11215" priority="25052">
      <formula>IF($B31="Quoting",TRUE,FALSE)</formula>
    </cfRule>
    <cfRule type="expression" dxfId="11214" priority="25053">
      <formula>IF($B31="Quoting",TRUE,FALSE)</formula>
    </cfRule>
    <cfRule type="expression" dxfId="11213" priority="25054">
      <formula>IF($B31="Quoting",TRUE,FALSE)</formula>
    </cfRule>
    <cfRule type="expression" dxfId="11212" priority="25055">
      <formula>IF($B31="Quoting",TRUE,FALSE)</formula>
    </cfRule>
    <cfRule type="expression" dxfId="11211" priority="25056">
      <formula>IF($B31="Quoting",TRUE,FALSE)</formula>
    </cfRule>
    <cfRule type="expression" dxfId="11210" priority="25057">
      <formula>IF($B31="Quoting",TRUE,FALSE)</formula>
    </cfRule>
    <cfRule type="expression" dxfId="11209" priority="25058">
      <formula>IF($B31="Quoting",TRUE,FALSE)</formula>
    </cfRule>
    <cfRule type="expression" dxfId="11208" priority="25059">
      <formula>IF($B31="Quoting",TRUE,FALSE)</formula>
    </cfRule>
    <cfRule type="expression" dxfId="11207" priority="25060">
      <formula>IF($B31="Quoting",TRUE,FALSE)</formula>
    </cfRule>
    <cfRule type="expression" dxfId="11206" priority="25061">
      <formula>IF($B31="Quoting",TRUE,FALSE)</formula>
    </cfRule>
    <cfRule type="expression" dxfId="11205" priority="25062">
      <formula>IF($B31="Quoting",TRUE,FALSE)</formula>
    </cfRule>
    <cfRule type="expression" dxfId="11204" priority="25063">
      <formula>IF($B31="Quoting",TRUE,FALSE)</formula>
    </cfRule>
    <cfRule type="expression" dxfId="11203" priority="25064">
      <formula>IF($B31="Quoting",TRUE,FALSE)</formula>
    </cfRule>
    <cfRule type="expression" dxfId="11202" priority="25065">
      <formula>IF($B31="Quoting",TRUE,FALSE)</formula>
    </cfRule>
    <cfRule type="expression" dxfId="11201" priority="25066">
      <formula>IF($B31="Quoting",TRUE,FALSE)</formula>
    </cfRule>
    <cfRule type="expression" dxfId="11200" priority="25067">
      <formula>IF($B31="Quoting",TRUE,FALSE)</formula>
    </cfRule>
    <cfRule type="expression" dxfId="11199" priority="25068">
      <formula>IF($B31="Quoting",TRUE,FALSE)</formula>
    </cfRule>
    <cfRule type="expression" dxfId="11198" priority="25069">
      <formula>IF($B31="Quoting",TRUE,FALSE)</formula>
    </cfRule>
    <cfRule type="expression" dxfId="11197" priority="25070">
      <formula>IF($B31="Quoting",TRUE,FALSE)</formula>
    </cfRule>
    <cfRule type="expression" dxfId="11196" priority="25071">
      <formula>IF($B31="Quoting",TRUE,FALSE)</formula>
    </cfRule>
    <cfRule type="expression" dxfId="11195" priority="25072">
      <formula>IF($B31="Quoting",TRUE,FALSE)</formula>
    </cfRule>
    <cfRule type="expression" dxfId="11194" priority="25073">
      <formula>IF($B31="Quoting",TRUE,FALSE)</formula>
    </cfRule>
    <cfRule type="expression" dxfId="11193" priority="25074">
      <formula>IF($B31="Quoting",TRUE,FALSE)</formula>
    </cfRule>
    <cfRule type="expression" dxfId="11192" priority="25075">
      <formula>IF($B31="Quoting",TRUE,FALSE)</formula>
    </cfRule>
    <cfRule type="expression" dxfId="11191" priority="25076">
      <formula>IF($B31="Quoting",TRUE,FALSE)</formula>
    </cfRule>
    <cfRule type="expression" dxfId="11190" priority="25077">
      <formula>IF($B31="Quoting",TRUE,FALSE)</formula>
    </cfRule>
    <cfRule type="expression" dxfId="11189" priority="25078">
      <formula>IF($B31="Quoting",TRUE,FALSE)</formula>
    </cfRule>
    <cfRule type="expression" dxfId="11188" priority="25079">
      <formula>IF($B31="Quoting",TRUE,FALSE)</formula>
    </cfRule>
    <cfRule type="expression" dxfId="11187" priority="25080">
      <formula>IF($B31="Quoting",TRUE,FALSE)</formula>
    </cfRule>
    <cfRule type="expression" dxfId="11186" priority="25081">
      <formula>IF($B31="Quoting",TRUE,FALSE)</formula>
    </cfRule>
    <cfRule type="expression" dxfId="11185" priority="25082">
      <formula>IF($B31="Quoting",TRUE,FALSE)</formula>
    </cfRule>
    <cfRule type="expression" dxfId="11184" priority="25083">
      <formula>IF($B31="Quoting",TRUE,FALSE)</formula>
    </cfRule>
    <cfRule type="expression" dxfId="11183" priority="25084">
      <formula>IF($B31="Quoting",TRUE,FALSE)</formula>
    </cfRule>
    <cfRule type="expression" dxfId="11182" priority="25085">
      <formula>IF($B31="Quoting",TRUE,FALSE)</formula>
    </cfRule>
    <cfRule type="expression" dxfId="11181" priority="25086">
      <formula>IF($B31="Quoting",TRUE,FALSE)</formula>
    </cfRule>
    <cfRule type="expression" dxfId="11180" priority="25087">
      <formula>IF($B31="Quoting",TRUE,FALSE)</formula>
    </cfRule>
    <cfRule type="expression" dxfId="11179" priority="25088">
      <formula>IF($B31="Quoting",TRUE,FALSE)</formula>
    </cfRule>
    <cfRule type="expression" dxfId="11178" priority="25089">
      <formula>IF($B31="Quoting",TRUE,FALSE)</formula>
    </cfRule>
    <cfRule type="expression" dxfId="11177" priority="25090">
      <formula>IF($B31="Quoting",TRUE,FALSE)</formula>
    </cfRule>
    <cfRule type="expression" dxfId="11176" priority="25091">
      <formula>IF($B31="Quoting",TRUE,FALSE)</formula>
    </cfRule>
    <cfRule type="expression" dxfId="11175" priority="25092">
      <formula>IF($B31="VOID",TRUE,FALSE)</formula>
    </cfRule>
  </conditionalFormatting>
  <conditionalFormatting sqref="G32">
    <cfRule type="expression" dxfId="11174" priority="24048">
      <formula>IF($B32="Quoting",TRUE,FALSE)</formula>
    </cfRule>
  </conditionalFormatting>
  <conditionalFormatting sqref="G35">
    <cfRule type="expression" dxfId="11173" priority="20060">
      <formula>IF($B35="VOID",TRUE,FALSE)</formula>
    </cfRule>
    <cfRule type="expression" dxfId="11172" priority="20061">
      <formula>IF($B35="Quoting",TRUE,FALSE)</formula>
    </cfRule>
    <cfRule type="expression" dxfId="11171" priority="20062">
      <formula>IF($B35="Quoting",TRUE,FALSE)</formula>
    </cfRule>
    <cfRule type="expression" dxfId="11170" priority="20063">
      <formula>IF($B35="Quoting",TRUE,FALSE)</formula>
    </cfRule>
    <cfRule type="expression" dxfId="11169" priority="20064">
      <formula>IF($B35="Quoting",TRUE,FALSE)</formula>
    </cfRule>
    <cfRule type="expression" dxfId="11168" priority="20065">
      <formula>IF($B35="Quoting",TRUE,FALSE)</formula>
    </cfRule>
    <cfRule type="expression" dxfId="11167" priority="20066">
      <formula>IF($B35="Quoting",TRUE,FALSE)</formula>
    </cfRule>
    <cfRule type="expression" dxfId="11166" priority="20067">
      <formula>IF($B35="Quoting",TRUE,FALSE)</formula>
    </cfRule>
    <cfRule type="expression" dxfId="11165" priority="20068">
      <formula>IF($B35="Quoting",TRUE,FALSE)</formula>
    </cfRule>
    <cfRule type="expression" dxfId="11164" priority="20069">
      <formula>IF($B35="Quoting",TRUE,FALSE)</formula>
    </cfRule>
    <cfRule type="expression" dxfId="11163" priority="20070">
      <formula>IF($B35="Quoting",TRUE,FALSE)</formula>
    </cfRule>
    <cfRule type="expression" dxfId="11162" priority="20071">
      <formula>IF($B35="Quoting",TRUE,FALSE)</formula>
    </cfRule>
    <cfRule type="expression" dxfId="11161" priority="20072">
      <formula>IF($B35="Quoting",TRUE,FALSE)</formula>
    </cfRule>
    <cfRule type="expression" dxfId="11160" priority="20073">
      <formula>IF($B35="Quoting",TRUE,FALSE)</formula>
    </cfRule>
    <cfRule type="expression" dxfId="11159" priority="20074">
      <formula>IF($B35="Quoting",TRUE,FALSE)</formula>
    </cfRule>
    <cfRule type="expression" dxfId="11158" priority="20075">
      <formula>IF($B35="Quoting",TRUE,FALSE)</formula>
    </cfRule>
    <cfRule type="expression" dxfId="11157" priority="20076">
      <formula>IF($B35="Quoting",TRUE,FALSE)</formula>
    </cfRule>
    <cfRule type="expression" dxfId="11156" priority="20077">
      <formula>IF($B35="Quoting",TRUE,FALSE)</formula>
    </cfRule>
    <cfRule type="expression" dxfId="11155" priority="20078">
      <formula>IF($B35="Quoting",TRUE,FALSE)</formula>
    </cfRule>
    <cfRule type="expression" dxfId="11154" priority="20079">
      <formula>IF($B35="Quoting",TRUE,FALSE)</formula>
    </cfRule>
    <cfRule type="expression" dxfId="11153" priority="20080">
      <formula>IF($B35="Quoting",TRUE,FALSE)</formula>
    </cfRule>
    <cfRule type="expression" dxfId="11152" priority="20081">
      <formula>IF($B35="Quoting",TRUE,FALSE)</formula>
    </cfRule>
    <cfRule type="expression" dxfId="11151" priority="20082">
      <formula>IF($B35="Quoting",TRUE,FALSE)</formula>
    </cfRule>
    <cfRule type="expression" dxfId="11150" priority="20083">
      <formula>IF($B35="Quoting",TRUE,FALSE)</formula>
    </cfRule>
    <cfRule type="expression" dxfId="11149" priority="20084">
      <formula>IF($B35="Quoting",TRUE,FALSE)</formula>
    </cfRule>
    <cfRule type="expression" dxfId="11148" priority="20085">
      <formula>IF($B35="Quoting",TRUE,FALSE)</formula>
    </cfRule>
    <cfRule type="expression" dxfId="11147" priority="20086">
      <formula>IF($B35="Quoting",TRUE,FALSE)</formula>
    </cfRule>
    <cfRule type="expression" dxfId="11146" priority="20087">
      <formula>IF($B35="Quoting",TRUE,FALSE)</formula>
    </cfRule>
    <cfRule type="expression" dxfId="11145" priority="20088">
      <formula>IF($B35="Quoting",TRUE,FALSE)</formula>
    </cfRule>
    <cfRule type="expression" dxfId="11144" priority="20089">
      <formula>IF($B35="Quoting",TRUE,FALSE)</formula>
    </cfRule>
    <cfRule type="expression" dxfId="11143" priority="20090">
      <formula>IF($B35="Quoting",TRUE,FALSE)</formula>
    </cfRule>
    <cfRule type="expression" dxfId="11142" priority="20091">
      <formula>IF($B35="Quoting",TRUE,FALSE)</formula>
    </cfRule>
    <cfRule type="expression" dxfId="11141" priority="20092">
      <formula>IF($B35="Quoting",TRUE,FALSE)</formula>
    </cfRule>
    <cfRule type="expression" dxfId="11140" priority="20093">
      <formula>IF($B35="Quoting",TRUE,FALSE)</formula>
    </cfRule>
    <cfRule type="expression" dxfId="11139" priority="20094">
      <formula>IF($B35="Quoting",TRUE,FALSE)</formula>
    </cfRule>
    <cfRule type="expression" dxfId="11138" priority="20095">
      <formula>IF($B35="Quoting",TRUE,FALSE)</formula>
    </cfRule>
    <cfRule type="expression" dxfId="11137" priority="20096">
      <formula>IF($B35="Quoting",TRUE,FALSE)</formula>
    </cfRule>
    <cfRule type="expression" dxfId="11136" priority="20097">
      <formula>IF($B35="Quoting",TRUE,FALSE)</formula>
    </cfRule>
    <cfRule type="expression" dxfId="11135" priority="20098">
      <formula>IF($B35="Quoting",TRUE,FALSE)</formula>
    </cfRule>
    <cfRule type="expression" dxfId="11134" priority="20099">
      <formula>IF($B35="Quoting",TRUE,FALSE)</formula>
    </cfRule>
    <cfRule type="expression" dxfId="11133" priority="20100">
      <formula>IF($B35="Quoting",TRUE,FALSE)</formula>
    </cfRule>
    <cfRule type="expression" dxfId="11132" priority="20101">
      <formula>IF($B35="Quoting",TRUE,FALSE)</formula>
    </cfRule>
    <cfRule type="expression" dxfId="11131" priority="20102">
      <formula>IF($B35="Quoting",TRUE,FALSE)</formula>
    </cfRule>
    <cfRule type="expression" dxfId="11130" priority="20103">
      <formula>IF($B35="Quoting",TRUE,FALSE)</formula>
    </cfRule>
    <cfRule type="expression" dxfId="11129" priority="20104">
      <formula>IF($B35="Quoting",TRUE,FALSE)</formula>
    </cfRule>
    <cfRule type="expression" dxfId="11128" priority="20105">
      <formula>IF($B35="Quoting",TRUE,FALSE)</formula>
    </cfRule>
    <cfRule type="expression" dxfId="11127" priority="20106">
      <formula>IF($B35="Quoting",TRUE,FALSE)</formula>
    </cfRule>
    <cfRule type="expression" dxfId="11126" priority="20107">
      <formula>IF($B35="Quoting",TRUE,FALSE)</formula>
    </cfRule>
    <cfRule type="expression" dxfId="11125" priority="20108">
      <formula>IF($B35="Quoting",TRUE,FALSE)</formula>
    </cfRule>
    <cfRule type="expression" dxfId="11124" priority="20109">
      <formula>IF($B35="Quoting",TRUE,FALSE)</formula>
    </cfRule>
    <cfRule type="expression" dxfId="11123" priority="20110">
      <formula>IF($B35="Quoting",TRUE,FALSE)</formula>
    </cfRule>
    <cfRule type="expression" dxfId="11122" priority="20111">
      <formula>IF($B35="Quoting",TRUE,FALSE)</formula>
    </cfRule>
    <cfRule type="expression" dxfId="11121" priority="20112">
      <formula>IF($B35="Quoting",TRUE,FALSE)</formula>
    </cfRule>
    <cfRule type="expression" dxfId="11120" priority="20113">
      <formula>IF($B35="Quoting",TRUE,FALSE)</formula>
    </cfRule>
    <cfRule type="expression" dxfId="11119" priority="20114">
      <formula>IF($B35="Quoting",TRUE,FALSE)</formula>
    </cfRule>
    <cfRule type="expression" dxfId="11118" priority="20115">
      <formula>IF($B35="Quoting",TRUE,FALSE)</formula>
    </cfRule>
    <cfRule type="expression" dxfId="11117" priority="20116">
      <formula>IF($B35="Quoting",TRUE,FALSE)</formula>
    </cfRule>
    <cfRule type="expression" dxfId="11116" priority="20117">
      <formula>IF($B35="Quoting",TRUE,FALSE)</formula>
    </cfRule>
    <cfRule type="expression" dxfId="11115" priority="20118">
      <formula>IF($B35="Quoting",TRUE,FALSE)</formula>
    </cfRule>
    <cfRule type="expression" dxfId="11114" priority="20119">
      <formula>IF($B35="Quoting",TRUE,FALSE)</formula>
    </cfRule>
    <cfRule type="expression" dxfId="11113" priority="20120">
      <formula>IF($B35="Quoting",TRUE,FALSE)</formula>
    </cfRule>
    <cfRule type="expression" dxfId="11112" priority="20121">
      <formula>IF($B35="Quoting",TRUE,FALSE)</formula>
    </cfRule>
    <cfRule type="expression" dxfId="11111" priority="20122">
      <formula>IF($B35="Quoting",TRUE,FALSE)</formula>
    </cfRule>
    <cfRule type="expression" dxfId="11110" priority="20123">
      <formula>IF($B35="Quoting",TRUE,FALSE)</formula>
    </cfRule>
    <cfRule type="expression" dxfId="11109" priority="20124">
      <formula>IF($B35="Quoting",TRUE,FALSE)</formula>
    </cfRule>
    <cfRule type="expression" dxfId="11108" priority="20125">
      <formula>IF($B35="Quoting",TRUE,FALSE)</formula>
    </cfRule>
    <cfRule type="expression" dxfId="11107" priority="20126">
      <formula>IF($B35="Quoting",TRUE,FALSE)</formula>
    </cfRule>
    <cfRule type="expression" dxfId="11106" priority="20127">
      <formula>IF($B35="Quoting",TRUE,FALSE)</formula>
    </cfRule>
    <cfRule type="expression" dxfId="11105" priority="20128">
      <formula>IF($B35="Quoting",TRUE,FALSE)</formula>
    </cfRule>
    <cfRule type="expression" dxfId="11104" priority="20129">
      <formula>IF($B35="Quoting",TRUE,FALSE)</formula>
    </cfRule>
    <cfRule type="expression" dxfId="11103" priority="20130">
      <formula>IF($B35="Quoting",TRUE,FALSE)</formula>
    </cfRule>
    <cfRule type="expression" dxfId="11102" priority="20131">
      <formula>IF($B35="Quoting",TRUE,FALSE)</formula>
    </cfRule>
    <cfRule type="expression" dxfId="11101" priority="20132">
      <formula>IF($B35="Quoting",TRUE,FALSE)</formula>
    </cfRule>
    <cfRule type="expression" dxfId="11100" priority="20133">
      <formula>IF($B35="Quoting",TRUE,FALSE)</formula>
    </cfRule>
    <cfRule type="expression" dxfId="11099" priority="20134">
      <formula>IF($B35="Quoting",TRUE,FALSE)</formula>
    </cfRule>
    <cfRule type="expression" dxfId="11098" priority="20135">
      <formula>IF($B35="Quoting",TRUE,FALSE)</formula>
    </cfRule>
    <cfRule type="expression" dxfId="11097" priority="20136">
      <formula>IF($B35="Quoting",TRUE,FALSE)</formula>
    </cfRule>
    <cfRule type="expression" dxfId="11096" priority="20137">
      <formula>IF($B35="Quoting",TRUE,FALSE)</formula>
    </cfRule>
    <cfRule type="expression" dxfId="11095" priority="20138">
      <formula>IF($B35="Quoting",TRUE,FALSE)</formula>
    </cfRule>
    <cfRule type="expression" dxfId="11094" priority="20139">
      <formula>IF($B35="Quoting",TRUE,FALSE)</formula>
    </cfRule>
    <cfRule type="expression" dxfId="11093" priority="20140">
      <formula>IF($B35="Quoting",TRUE,FALSE)</formula>
    </cfRule>
    <cfRule type="expression" dxfId="11092" priority="20141">
      <formula>IF($B35="Quoting",TRUE,FALSE)</formula>
    </cfRule>
    <cfRule type="expression" dxfId="11091" priority="20142">
      <formula>IF($B35="Quoting",TRUE,FALSE)</formula>
    </cfRule>
    <cfRule type="expression" dxfId="11090" priority="20143">
      <formula>IF($B35="Quoting",TRUE,FALSE)</formula>
    </cfRule>
    <cfRule type="expression" dxfId="11089" priority="20144">
      <formula>IF($B35="Quoting",TRUE,FALSE)</formula>
    </cfRule>
    <cfRule type="expression" dxfId="11088" priority="20145">
      <formula>IF($B35="Quoting",TRUE,FALSE)</formula>
    </cfRule>
    <cfRule type="expression" dxfId="11087" priority="20146">
      <formula>IF($B35="Quoting",TRUE,FALSE)</formula>
    </cfRule>
    <cfRule type="expression" dxfId="11086" priority="20147">
      <formula>IF($B35="Quoting",TRUE,FALSE)</formula>
    </cfRule>
    <cfRule type="expression" dxfId="11085" priority="20148">
      <formula>IF($B35="Quoting",TRUE,FALSE)</formula>
    </cfRule>
    <cfRule type="expression" dxfId="11084" priority="20149">
      <formula>IF($B35="Quoting",TRUE,FALSE)</formula>
    </cfRule>
    <cfRule type="expression" dxfId="11083" priority="20150">
      <formula>IF($B35="Quoting",TRUE,FALSE)</formula>
    </cfRule>
    <cfRule type="expression" dxfId="11082" priority="20151">
      <formula>IF($B35="Quoting",TRUE,FALSE)</formula>
    </cfRule>
    <cfRule type="expression" dxfId="11081" priority="20152">
      <formula>IF($B35="Quoting",TRUE,FALSE)</formula>
    </cfRule>
    <cfRule type="expression" dxfId="11080" priority="20153">
      <formula>IF($B35="Quoting",TRUE,FALSE)</formula>
    </cfRule>
    <cfRule type="expression" dxfId="11079" priority="20154">
      <formula>IF($B35="Quoting",TRUE,FALSE)</formula>
    </cfRule>
    <cfRule type="expression" dxfId="11078" priority="20155">
      <formula>IF($B35="Quoting",TRUE,FALSE)</formula>
    </cfRule>
    <cfRule type="expression" dxfId="11077" priority="20156">
      <formula>IF($B35="Quoting",TRUE,FALSE)</formula>
    </cfRule>
    <cfRule type="expression" dxfId="11076" priority="20157">
      <formula>IF($B35="Quoting",TRUE,FALSE)</formula>
    </cfRule>
    <cfRule type="expression" dxfId="11075" priority="20158">
      <formula>IF($B35="Quoting",TRUE,FALSE)</formula>
    </cfRule>
    <cfRule type="expression" dxfId="11074" priority="20159">
      <formula>IF($B35="Quoting",TRUE,FALSE)</formula>
    </cfRule>
    <cfRule type="expression" dxfId="11073" priority="20160">
      <formula>IF($B35="Quoting",TRUE,FALSE)</formula>
    </cfRule>
    <cfRule type="expression" dxfId="11072" priority="20161">
      <formula>IF($B35="Quoting",TRUE,FALSE)</formula>
    </cfRule>
    <cfRule type="expression" dxfId="11071" priority="20162">
      <formula>IF($B35="Quoting",TRUE,FALSE)</formula>
    </cfRule>
    <cfRule type="expression" dxfId="11070" priority="20163">
      <formula>IF($B35="Quoting",TRUE,FALSE)</formula>
    </cfRule>
    <cfRule type="expression" dxfId="11069" priority="20164">
      <formula>IF($B35="Quoting",TRUE,FALSE)</formula>
    </cfRule>
    <cfRule type="expression" dxfId="11068" priority="20165">
      <formula>IF($B35="Quoting",TRUE,FALSE)</formula>
    </cfRule>
    <cfRule type="expression" dxfId="11067" priority="20166">
      <formula>IF($B35="Quoting",TRUE,FALSE)</formula>
    </cfRule>
    <cfRule type="expression" dxfId="11066" priority="20167">
      <formula>IF($B35="Quoting",TRUE,FALSE)</formula>
    </cfRule>
    <cfRule type="expression" dxfId="11065" priority="20168">
      <formula>IF($B35="Quoting",TRUE,FALSE)</formula>
    </cfRule>
    <cfRule type="expression" dxfId="11064" priority="20169">
      <formula>IF($B35="Quoting",TRUE,FALSE)</formula>
    </cfRule>
    <cfRule type="expression" dxfId="11063" priority="20170">
      <formula>IF($B35="Quoting",TRUE,FALSE)</formula>
    </cfRule>
    <cfRule type="expression" dxfId="11062" priority="20171">
      <formula>IF($B35="Quoting",TRUE,FALSE)</formula>
    </cfRule>
    <cfRule type="expression" dxfId="11061" priority="20172">
      <formula>IF($B35="Quoting",TRUE,FALSE)</formula>
    </cfRule>
    <cfRule type="expression" dxfId="11060" priority="20173">
      <formula>IF($B35="Quoting",TRUE,FALSE)</formula>
    </cfRule>
    <cfRule type="expression" dxfId="11059" priority="20174">
      <formula>IF($B35="Quoting",TRUE,FALSE)</formula>
    </cfRule>
    <cfRule type="expression" dxfId="11058" priority="20175">
      <formula>IF($B35="Quoting",TRUE,FALSE)</formula>
    </cfRule>
    <cfRule type="expression" dxfId="11057" priority="20176">
      <formula>IF($B35="Quoting",TRUE,FALSE)</formula>
    </cfRule>
    <cfRule type="expression" dxfId="11056" priority="20177">
      <formula>IF($B35="Quoting",TRUE,FALSE)</formula>
    </cfRule>
    <cfRule type="expression" dxfId="11055" priority="20178">
      <formula>IF($B35="Quoting",TRUE,FALSE)</formula>
    </cfRule>
    <cfRule type="expression" dxfId="11054" priority="20179">
      <formula>IF($B35="Quoting",TRUE,FALSE)</formula>
    </cfRule>
    <cfRule type="expression" dxfId="11053" priority="20180">
      <formula>IF($B35="Quoting",TRUE,FALSE)</formula>
    </cfRule>
    <cfRule type="expression" dxfId="11052" priority="20181">
      <formula>IF($B35="Quoting",TRUE,FALSE)</formula>
    </cfRule>
    <cfRule type="expression" dxfId="11051" priority="20182">
      <formula>IF($B35="Quoting",TRUE,FALSE)</formula>
    </cfRule>
    <cfRule type="expression" dxfId="11050" priority="20183">
      <formula>IF($B35="Quoting",TRUE,FALSE)</formula>
    </cfRule>
    <cfRule type="expression" dxfId="11049" priority="20184">
      <formula>IF($B35="Quoting",TRUE,FALSE)</formula>
    </cfRule>
    <cfRule type="expression" dxfId="11048" priority="20185">
      <formula>IF($B35="Quoting",TRUE,FALSE)</formula>
    </cfRule>
    <cfRule type="expression" dxfId="11047" priority="20186">
      <formula>IF($B35="Quoting",TRUE,FALSE)</formula>
    </cfRule>
    <cfRule type="expression" dxfId="11046" priority="20187">
      <formula>IF($B35="Quoting",TRUE,FALSE)</formula>
    </cfRule>
    <cfRule type="expression" dxfId="11045" priority="20188">
      <formula>IF($B35="Quoting",TRUE,FALSE)</formula>
    </cfRule>
    <cfRule type="expression" dxfId="11044" priority="20189">
      <formula>IF($B35="Quoting",TRUE,FALSE)</formula>
    </cfRule>
    <cfRule type="expression" dxfId="11043" priority="20190">
      <formula>IF($B35="Quoting",TRUE,FALSE)</formula>
    </cfRule>
    <cfRule type="expression" dxfId="11042" priority="20191">
      <formula>IF($B35="Quoting",TRUE,FALSE)</formula>
    </cfRule>
    <cfRule type="expression" dxfId="11041" priority="20192">
      <formula>IF($B35="Quoting",TRUE,FALSE)</formula>
    </cfRule>
    <cfRule type="expression" dxfId="11040" priority="20193">
      <formula>IF($B35="Quoting",TRUE,FALSE)</formula>
    </cfRule>
    <cfRule type="expression" dxfId="11039" priority="20194">
      <formula>IF($B35="Quoting",TRUE,FALSE)</formula>
    </cfRule>
    <cfRule type="expression" dxfId="11038" priority="20195">
      <formula>IF($B35="Quoting",TRUE,FALSE)</formula>
    </cfRule>
    <cfRule type="expression" dxfId="11037" priority="20196">
      <formula>IF($B35="Quoting",TRUE,FALSE)</formula>
    </cfRule>
    <cfRule type="expression" dxfId="11036" priority="20197">
      <formula>IF($B35="Quoting",TRUE,FALSE)</formula>
    </cfRule>
    <cfRule type="expression" dxfId="11035" priority="20198">
      <formula>IF($B35="Quoting",TRUE,FALSE)</formula>
    </cfRule>
    <cfRule type="expression" dxfId="11034" priority="20199">
      <formula>IF($B35="Quoting",TRUE,FALSE)</formula>
    </cfRule>
    <cfRule type="expression" dxfId="11033" priority="20200">
      <formula>IF($B35="Quoting",TRUE,FALSE)</formula>
    </cfRule>
    <cfRule type="expression" dxfId="11032" priority="20201">
      <formula>IF($B35="Quoting",TRUE,FALSE)</formula>
    </cfRule>
    <cfRule type="expression" dxfId="11031" priority="20202">
      <formula>IF($B35="Quoting",TRUE,FALSE)</formula>
    </cfRule>
    <cfRule type="expression" dxfId="11030" priority="20203">
      <formula>IF($B35="Quoting",TRUE,FALSE)</formula>
    </cfRule>
    <cfRule type="expression" dxfId="11029" priority="20204">
      <formula>IF($B35="Quoting",TRUE,FALSE)</formula>
    </cfRule>
    <cfRule type="expression" dxfId="11028" priority="20205">
      <formula>IF($B35="Quoting",TRUE,FALSE)</formula>
    </cfRule>
    <cfRule type="expression" dxfId="11027" priority="20206">
      <formula>IF($B35="Quoting",TRUE,FALSE)</formula>
    </cfRule>
    <cfRule type="expression" dxfId="11026" priority="20207">
      <formula>IF($B35="Quoting",TRUE,FALSE)</formula>
    </cfRule>
    <cfRule type="expression" dxfId="11025" priority="20208">
      <formula>IF($B35="Quoting",TRUE,FALSE)</formula>
    </cfRule>
    <cfRule type="expression" dxfId="11024" priority="20209">
      <formula>IF($B35="Quoting",TRUE,FALSE)</formula>
    </cfRule>
    <cfRule type="expression" dxfId="11023" priority="20210">
      <formula>IF($B35="Quoting",TRUE,FALSE)</formula>
    </cfRule>
    <cfRule type="expression" dxfId="11022" priority="20211">
      <formula>IF($B35="Quoting",TRUE,FALSE)</formula>
    </cfRule>
    <cfRule type="expression" dxfId="11021" priority="20212">
      <formula>IF($B35="Quoting",TRUE,FALSE)</formula>
    </cfRule>
    <cfRule type="expression" dxfId="11020" priority="20213">
      <formula>IF($B35="Quoting",TRUE,FALSE)</formula>
    </cfRule>
    <cfRule type="expression" dxfId="11019" priority="20214">
      <formula>IF($B35="Quoting",TRUE,FALSE)</formula>
    </cfRule>
    <cfRule type="expression" dxfId="11018" priority="20215">
      <formula>IF($B35="Quoting",TRUE,FALSE)</formula>
    </cfRule>
    <cfRule type="expression" dxfId="11017" priority="20216">
      <formula>IF($B35="Quoting",TRUE,FALSE)</formula>
    </cfRule>
    <cfRule type="expression" dxfId="11016" priority="20217">
      <formula>IF($B35="Quoting",TRUE,FALSE)</formula>
    </cfRule>
    <cfRule type="expression" dxfId="11015" priority="20218">
      <formula>IF($B35="Quoting",TRUE,FALSE)</formula>
    </cfRule>
    <cfRule type="expression" dxfId="11014" priority="20219">
      <formula>IF($B35="Quoting",TRUE,FALSE)</formula>
    </cfRule>
    <cfRule type="expression" dxfId="11013" priority="20220">
      <formula>IF($B35="Quoting",TRUE,FALSE)</formula>
    </cfRule>
    <cfRule type="expression" dxfId="11012" priority="20221">
      <formula>IF($B35="Quoting",TRUE,FALSE)</formula>
    </cfRule>
    <cfRule type="expression" dxfId="11011" priority="20222">
      <formula>IF($B35="Quoting",TRUE,FALSE)</formula>
    </cfRule>
    <cfRule type="expression" dxfId="11010" priority="20223">
      <formula>IF($B35="Quoting",TRUE,FALSE)</formula>
    </cfRule>
    <cfRule type="expression" dxfId="11009" priority="20224">
      <formula>IF($B35="Quoting",TRUE,FALSE)</formula>
    </cfRule>
    <cfRule type="expression" dxfId="11008" priority="20225">
      <formula>IF($B35="Quoting",TRUE,FALSE)</formula>
    </cfRule>
    <cfRule type="expression" dxfId="11007" priority="20226">
      <formula>IF($B35="Quoting",TRUE,FALSE)</formula>
    </cfRule>
    <cfRule type="expression" dxfId="11006" priority="20227">
      <formula>IF($B35="Quoting",TRUE,FALSE)</formula>
    </cfRule>
    <cfRule type="expression" dxfId="11005" priority="20228">
      <formula>IF($B35="Quoting",TRUE,FALSE)</formula>
    </cfRule>
    <cfRule type="expression" dxfId="11004" priority="20229">
      <formula>IF($B35="Quoting",TRUE,FALSE)</formula>
    </cfRule>
    <cfRule type="expression" dxfId="11003" priority="20230">
      <formula>IF($B35="Quoting",TRUE,FALSE)</formula>
    </cfRule>
    <cfRule type="expression" dxfId="11002" priority="20231">
      <formula>IF($B35="Quoting",TRUE,FALSE)</formula>
    </cfRule>
    <cfRule type="expression" dxfId="11001" priority="20232">
      <formula>IF($B35="Quoting",TRUE,FALSE)</formula>
    </cfRule>
    <cfRule type="expression" dxfId="11000" priority="20233">
      <formula>IF($B35="Quoting",TRUE,FALSE)</formula>
    </cfRule>
    <cfRule type="expression" dxfId="10999" priority="20234">
      <formula>IF($B35="Quoting",TRUE,FALSE)</formula>
    </cfRule>
    <cfRule type="expression" dxfId="10998" priority="20235">
      <formula>IF($B35="Quoting",TRUE,FALSE)</formula>
    </cfRule>
    <cfRule type="expression" dxfId="10997" priority="20236">
      <formula>IF($B35="Quoting",TRUE,FALSE)</formula>
    </cfRule>
    <cfRule type="expression" dxfId="10996" priority="20237">
      <formula>IF($B35="Quoting",TRUE,FALSE)</formula>
    </cfRule>
    <cfRule type="expression" dxfId="10995" priority="20238">
      <formula>IF($B35="Quoting",TRUE,FALSE)</formula>
    </cfRule>
    <cfRule type="expression" dxfId="10994" priority="20239">
      <formula>IF($B35="Quoting",TRUE,FALSE)</formula>
    </cfRule>
    <cfRule type="expression" dxfId="10993" priority="20240">
      <formula>IF($B35="Quoting",TRUE,FALSE)</formula>
    </cfRule>
    <cfRule type="expression" dxfId="10992" priority="20241">
      <formula>IF($B35="Quoting",TRUE,FALSE)</formula>
    </cfRule>
    <cfRule type="expression" dxfId="10991" priority="20242">
      <formula>IF($B35="Quoting",TRUE,FALSE)</formula>
    </cfRule>
    <cfRule type="expression" dxfId="10990" priority="20243">
      <formula>IF($B35="Quoting",TRUE,FALSE)</formula>
    </cfRule>
    <cfRule type="expression" dxfId="10989" priority="20244">
      <formula>IF($B35="Quoting",TRUE,FALSE)</formula>
    </cfRule>
    <cfRule type="expression" dxfId="10988" priority="20245">
      <formula>IF($B35="Quoting",TRUE,FALSE)</formula>
    </cfRule>
    <cfRule type="expression" dxfId="10987" priority="20246">
      <formula>IF($B35="Quoting",TRUE,FALSE)</formula>
    </cfRule>
    <cfRule type="expression" dxfId="10986" priority="20247">
      <formula>IF($B35="Quoting",TRUE,FALSE)</formula>
    </cfRule>
    <cfRule type="expression" dxfId="10985" priority="20248">
      <formula>IF($B35="Quoting",TRUE,FALSE)</formula>
    </cfRule>
    <cfRule type="expression" dxfId="10984" priority="20249">
      <formula>IF($B35="Quoting",TRUE,FALSE)</formula>
    </cfRule>
    <cfRule type="expression" dxfId="10983" priority="20250">
      <formula>IF($B35="Quoting",TRUE,FALSE)</formula>
    </cfRule>
    <cfRule type="expression" dxfId="10982" priority="20251">
      <formula>IF($B35="Quoting",TRUE,FALSE)</formula>
    </cfRule>
    <cfRule type="expression" dxfId="10981" priority="20252">
      <formula>IF($B35="Quoting",TRUE,FALSE)</formula>
    </cfRule>
    <cfRule type="expression" dxfId="10980" priority="20253">
      <formula>IF($B35="Quoting",TRUE,FALSE)</formula>
    </cfRule>
    <cfRule type="expression" dxfId="10979" priority="20254">
      <formula>IF($B35="Quoting",TRUE,FALSE)</formula>
    </cfRule>
    <cfRule type="expression" dxfId="10978" priority="20255">
      <formula>IF($B35="Quoting",TRUE,FALSE)</formula>
    </cfRule>
    <cfRule type="expression" dxfId="10977" priority="20256">
      <formula>IF($B35="Quoting",TRUE,FALSE)</formula>
    </cfRule>
    <cfRule type="expression" dxfId="10976" priority="20257">
      <formula>IF($B35="Quoting",TRUE,FALSE)</formula>
    </cfRule>
    <cfRule type="expression" dxfId="10975" priority="20258">
      <formula>IF($B35="Quoting",TRUE,FALSE)</formula>
    </cfRule>
    <cfRule type="expression" dxfId="10974" priority="20259">
      <formula>IF($B35="Quoting",TRUE,FALSE)</formula>
    </cfRule>
    <cfRule type="expression" dxfId="10973" priority="20260">
      <formula>IF($B35="Quoting",TRUE,FALSE)</formula>
    </cfRule>
    <cfRule type="expression" dxfId="10972" priority="20261">
      <formula>IF($B35="Quoting",TRUE,FALSE)</formula>
    </cfRule>
    <cfRule type="expression" dxfId="10971" priority="20262">
      <formula>IF($B35="Quoting",TRUE,FALSE)</formula>
    </cfRule>
    <cfRule type="expression" dxfId="10970" priority="20263">
      <formula>IF($B35="Quoting",TRUE,FALSE)</formula>
    </cfRule>
    <cfRule type="expression" dxfId="10969" priority="20264">
      <formula>IF($B35="Quoting",TRUE,FALSE)</formula>
    </cfRule>
    <cfRule type="expression" dxfId="10968" priority="20265">
      <formula>IF($B35="Quoting",TRUE,FALSE)</formula>
    </cfRule>
    <cfRule type="expression" dxfId="10967" priority="20266">
      <formula>IF($B35="Quoting",TRUE,FALSE)</formula>
    </cfRule>
    <cfRule type="expression" dxfId="10966" priority="20267">
      <formula>IF($B35="Quoting",TRUE,FALSE)</formula>
    </cfRule>
    <cfRule type="expression" dxfId="10965" priority="20268">
      <formula>IF($B35="Quoting",TRUE,FALSE)</formula>
    </cfRule>
    <cfRule type="expression" dxfId="10964" priority="20269">
      <formula>IF($B35="Quoting",TRUE,FALSE)</formula>
    </cfRule>
    <cfRule type="expression" dxfId="10963" priority="20270">
      <formula>IF($B35="Quoting",TRUE,FALSE)</formula>
    </cfRule>
    <cfRule type="expression" dxfId="10962" priority="20271">
      <formula>IF($B35="Quoting",TRUE,FALSE)</formula>
    </cfRule>
    <cfRule type="expression" dxfId="10961" priority="20272">
      <formula>IF($B35="Quoting",TRUE,FALSE)</formula>
    </cfRule>
    <cfRule type="expression" dxfId="10960" priority="20273">
      <formula>IF($B35="Quoting",TRUE,FALSE)</formula>
    </cfRule>
    <cfRule type="expression" dxfId="10959" priority="20274">
      <formula>IF($B35="Quoting",TRUE,FALSE)</formula>
    </cfRule>
    <cfRule type="expression" dxfId="10958" priority="20275">
      <formula>IF($B35="Quoting",TRUE,FALSE)</formula>
    </cfRule>
    <cfRule type="expression" dxfId="10957" priority="20276">
      <formula>IF($B35="Quoting",TRUE,FALSE)</formula>
    </cfRule>
    <cfRule type="expression" dxfId="10956" priority="20277">
      <formula>IF($B35="Quoting",TRUE,FALSE)</formula>
    </cfRule>
    <cfRule type="expression" dxfId="10955" priority="20278">
      <formula>IF($B35="Quoting",TRUE,FALSE)</formula>
    </cfRule>
    <cfRule type="expression" dxfId="10954" priority="20279">
      <formula>IF($B35="Quoting",TRUE,FALSE)</formula>
    </cfRule>
    <cfRule type="expression" dxfId="10953" priority="20280">
      <formula>IF($B35="Quoting",TRUE,FALSE)</formula>
    </cfRule>
    <cfRule type="expression" dxfId="10952" priority="20281">
      <formula>IF($B35="Quoting",TRUE,FALSE)</formula>
    </cfRule>
    <cfRule type="expression" dxfId="10951" priority="20282">
      <formula>IF($B35="Quoting",TRUE,FALSE)</formula>
    </cfRule>
    <cfRule type="expression" dxfId="10950" priority="20283">
      <formula>IF($B35="Quoting",TRUE,FALSE)</formula>
    </cfRule>
    <cfRule type="expression" dxfId="10949" priority="20284">
      <formula>IF($B35="Quoting",TRUE,FALSE)</formula>
    </cfRule>
    <cfRule type="expression" dxfId="10948" priority="20285">
      <formula>IF($B35="Quoting",TRUE,FALSE)</formula>
    </cfRule>
    <cfRule type="expression" dxfId="10947" priority="20286">
      <formula>IF($B35="Quoting",TRUE,FALSE)</formula>
    </cfRule>
    <cfRule type="expression" dxfId="10946" priority="20287">
      <formula>IF($B35="Quoting",TRUE,FALSE)</formula>
    </cfRule>
    <cfRule type="expression" dxfId="10945" priority="20288">
      <formula>IF($B35="Quoting",TRUE,FALSE)</formula>
    </cfRule>
    <cfRule type="expression" dxfId="10944" priority="20289">
      <formula>IF($B35="Quoting",TRUE,FALSE)</formula>
    </cfRule>
    <cfRule type="expression" dxfId="10943" priority="20290">
      <formula>IF($B35="Quoting",TRUE,FALSE)</formula>
    </cfRule>
    <cfRule type="expression" dxfId="10942" priority="20291">
      <formula>IF($B35="Quoting",TRUE,FALSE)</formula>
    </cfRule>
    <cfRule type="expression" dxfId="10941" priority="20292">
      <formula>IF($B35="Quoting",TRUE,FALSE)</formula>
    </cfRule>
    <cfRule type="expression" dxfId="10940" priority="20293">
      <formula>IF($B35="Quoting",TRUE,FALSE)</formula>
    </cfRule>
    <cfRule type="expression" dxfId="10939" priority="20294">
      <formula>IF($B35="Quoting",TRUE,FALSE)</formula>
    </cfRule>
    <cfRule type="expression" dxfId="10938" priority="20295">
      <formula>IF($B35="Quoting",TRUE,FALSE)</formula>
    </cfRule>
    <cfRule type="expression" dxfId="10937" priority="20296">
      <formula>IF($B35="Quoting",TRUE,FALSE)</formula>
    </cfRule>
    <cfRule type="expression" dxfId="10936" priority="20297">
      <formula>IF($B35="Quoting",TRUE,FALSE)</formula>
    </cfRule>
    <cfRule type="expression" dxfId="10935" priority="20298">
      <formula>IF($B35="Quoting",TRUE,FALSE)</formula>
    </cfRule>
    <cfRule type="expression" dxfId="10934" priority="20299">
      <formula>IF($B35="Quoting",TRUE,FALSE)</formula>
    </cfRule>
    <cfRule type="expression" dxfId="10933" priority="20300">
      <formula>IF($B35="Quoting",TRUE,FALSE)</formula>
    </cfRule>
    <cfRule type="expression" dxfId="10932" priority="20301">
      <formula>IF($B35="Quoting",TRUE,FALSE)</formula>
    </cfRule>
    <cfRule type="expression" dxfId="10931" priority="20302">
      <formula>IF($B35="Quoting",TRUE,FALSE)</formula>
    </cfRule>
    <cfRule type="expression" dxfId="10930" priority="20303">
      <formula>IF($B35="Quoting",TRUE,FALSE)</formula>
    </cfRule>
    <cfRule type="expression" dxfId="10929" priority="20304">
      <formula>IF($B35="Quoting",TRUE,FALSE)</formula>
    </cfRule>
    <cfRule type="expression" dxfId="10928" priority="20305">
      <formula>IF($B35="Quoting",TRUE,FALSE)</formula>
    </cfRule>
    <cfRule type="expression" dxfId="10927" priority="20306">
      <formula>IF($B35="Quoting",TRUE,FALSE)</formula>
    </cfRule>
    <cfRule type="expression" dxfId="10926" priority="20307">
      <formula>IF($B35="Quoting",TRUE,FALSE)</formula>
    </cfRule>
    <cfRule type="expression" dxfId="10925" priority="20308">
      <formula>IF($B35="Quoting",TRUE,FALSE)</formula>
    </cfRule>
    <cfRule type="expression" dxfId="10924" priority="20309">
      <formula>IF($B35="Quoting",TRUE,FALSE)</formula>
    </cfRule>
    <cfRule type="expression" dxfId="10923" priority="20310">
      <formula>IF($B35="Quoting",TRUE,FALSE)</formula>
    </cfRule>
    <cfRule type="expression" dxfId="10922" priority="20311">
      <formula>IF($B35="Quoting",TRUE,FALSE)</formula>
    </cfRule>
    <cfRule type="expression" dxfId="10921" priority="20312">
      <formula>IF($B35="VOID",TRUE,FALSE)</formula>
    </cfRule>
    <cfRule type="expression" dxfId="10920" priority="20313">
      <formula>IF($B35="Quoting",TRUE,FALSE)</formula>
    </cfRule>
    <cfRule type="expression" dxfId="10919" priority="20314">
      <formula>IF($B35="Quoting",TRUE,FALSE)</formula>
    </cfRule>
    <cfRule type="expression" dxfId="10918" priority="20315">
      <formula>IF($B35="Quoting",TRUE,FALSE)</formula>
    </cfRule>
    <cfRule type="expression" dxfId="10917" priority="20316">
      <formula>IF($B35="Quoting",TRUE,FALSE)</formula>
    </cfRule>
    <cfRule type="expression" dxfId="10916" priority="20317">
      <formula>IF($B35="Quoting",TRUE,FALSE)</formula>
    </cfRule>
    <cfRule type="expression" dxfId="10915" priority="20318">
      <formula>IF($B35="Quoting",TRUE,FALSE)</formula>
    </cfRule>
    <cfRule type="expression" dxfId="10914" priority="20319">
      <formula>IF($B35="Quoting",TRUE,FALSE)</formula>
    </cfRule>
    <cfRule type="expression" dxfId="10913" priority="20320">
      <formula>IF($B35="Quoting",TRUE,FALSE)</formula>
    </cfRule>
    <cfRule type="expression" dxfId="10912" priority="20321">
      <formula>IF($B35="Quoting",TRUE,FALSE)</formula>
    </cfRule>
    <cfRule type="expression" dxfId="10911" priority="20322">
      <formula>IF($B35="Quoting",TRUE,FALSE)</formula>
    </cfRule>
    <cfRule type="expression" dxfId="10910" priority="20323">
      <formula>IF($B35="Quoting",TRUE,FALSE)</formula>
    </cfRule>
    <cfRule type="expression" dxfId="10909" priority="20324">
      <formula>IF($B35="Quoting",TRUE,FALSE)</formula>
    </cfRule>
    <cfRule type="expression" dxfId="10908" priority="20325">
      <formula>IF($B35="Quoting",TRUE,FALSE)</formula>
    </cfRule>
    <cfRule type="expression" dxfId="10907" priority="20326">
      <formula>IF($B35="Quoting",TRUE,FALSE)</formula>
    </cfRule>
    <cfRule type="expression" dxfId="10906" priority="20327">
      <formula>IF($B35="Quoting",TRUE,FALSE)</formula>
    </cfRule>
    <cfRule type="expression" dxfId="10905" priority="20328">
      <formula>IF($B35="Quoting",TRUE,FALSE)</formula>
    </cfRule>
    <cfRule type="expression" dxfId="10904" priority="20329">
      <formula>IF($B35="Quoting",TRUE,FALSE)</formula>
    </cfRule>
    <cfRule type="expression" dxfId="10903" priority="20330">
      <formula>IF($B35="Quoting",TRUE,FALSE)</formula>
    </cfRule>
    <cfRule type="expression" dxfId="10902" priority="20331">
      <formula>IF($B35="Quoting",TRUE,FALSE)</formula>
    </cfRule>
    <cfRule type="expression" dxfId="10901" priority="20332">
      <formula>IF($B35="Quoting",TRUE,FALSE)</formula>
    </cfRule>
    <cfRule type="expression" dxfId="10900" priority="20333">
      <formula>IF($B35="Quoting",TRUE,FALSE)</formula>
    </cfRule>
    <cfRule type="expression" dxfId="10899" priority="20334">
      <formula>IF($B35="Quoting",TRUE,FALSE)</formula>
    </cfRule>
    <cfRule type="expression" dxfId="10898" priority="20335">
      <formula>IF($B35="Quoting",TRUE,FALSE)</formula>
    </cfRule>
    <cfRule type="expression" dxfId="10897" priority="20336">
      <formula>IF($B35="Quoting",TRUE,FALSE)</formula>
    </cfRule>
    <cfRule type="expression" dxfId="10896" priority="20337">
      <formula>IF($B35="Quoting",TRUE,FALSE)</formula>
    </cfRule>
    <cfRule type="expression" dxfId="10895" priority="20338">
      <formula>IF($B35="Quoting",TRUE,FALSE)</formula>
    </cfRule>
    <cfRule type="expression" dxfId="10894" priority="20339">
      <formula>IF($B35="Quoting",TRUE,FALSE)</formula>
    </cfRule>
    <cfRule type="expression" dxfId="10893" priority="20340">
      <formula>IF($B35="Quoting",TRUE,FALSE)</formula>
    </cfRule>
    <cfRule type="expression" dxfId="10892" priority="20341">
      <formula>IF($B35="Quoting",TRUE,FALSE)</formula>
    </cfRule>
    <cfRule type="expression" dxfId="10891" priority="20342">
      <formula>IF($B35="Quoting",TRUE,FALSE)</formula>
    </cfRule>
    <cfRule type="expression" dxfId="10890" priority="20343">
      <formula>IF($B35="Quoting",TRUE,FALSE)</formula>
    </cfRule>
    <cfRule type="expression" dxfId="10889" priority="20344">
      <formula>IF($B35="Quoting",TRUE,FALSE)</formula>
    </cfRule>
    <cfRule type="expression" dxfId="10888" priority="20345">
      <formula>IF($B35="Quoting",TRUE,FALSE)</formula>
    </cfRule>
    <cfRule type="expression" dxfId="10887" priority="20346">
      <formula>IF($B35="Quoting",TRUE,FALSE)</formula>
    </cfRule>
    <cfRule type="expression" dxfId="10886" priority="20347">
      <formula>IF($B35="Quoting",TRUE,FALSE)</formula>
    </cfRule>
    <cfRule type="expression" dxfId="10885" priority="20348">
      <formula>IF($B35="Quoting",TRUE,FALSE)</formula>
    </cfRule>
    <cfRule type="expression" dxfId="10884" priority="20349">
      <formula>IF($B35="Quoting",TRUE,FALSE)</formula>
    </cfRule>
    <cfRule type="expression" dxfId="10883" priority="20350">
      <formula>IF($B35="Quoting",TRUE,FALSE)</formula>
    </cfRule>
    <cfRule type="expression" dxfId="10882" priority="20351">
      <formula>IF($B35="Quoting",TRUE,FALSE)</formula>
    </cfRule>
    <cfRule type="expression" dxfId="10881" priority="20352">
      <formula>IF($B35="Quoting",TRUE,FALSE)</formula>
    </cfRule>
    <cfRule type="expression" dxfId="10880" priority="20353">
      <formula>IF($B35="Quoting",TRUE,FALSE)</formula>
    </cfRule>
    <cfRule type="expression" dxfId="10879" priority="20354">
      <formula>IF($B35="Quoting",TRUE,FALSE)</formula>
    </cfRule>
    <cfRule type="expression" dxfId="10878" priority="20355">
      <formula>IF($B35="Quoting",TRUE,FALSE)</formula>
    </cfRule>
    <cfRule type="expression" dxfId="10877" priority="20356">
      <formula>IF($B35="Quoting",TRUE,FALSE)</formula>
    </cfRule>
    <cfRule type="expression" dxfId="10876" priority="20357">
      <formula>IF($B35="Quoting",TRUE,FALSE)</formula>
    </cfRule>
    <cfRule type="expression" dxfId="10875" priority="20358">
      <formula>IF($B35="Quoting",TRUE,FALSE)</formula>
    </cfRule>
    <cfRule type="expression" dxfId="10874" priority="20359">
      <formula>IF($B35="Quoting",TRUE,FALSE)</formula>
    </cfRule>
    <cfRule type="expression" dxfId="10873" priority="20360">
      <formula>IF($B35="Quoting",TRUE,FALSE)</formula>
    </cfRule>
    <cfRule type="expression" dxfId="10872" priority="20361">
      <formula>IF($B35="Quoting",TRUE,FALSE)</formula>
    </cfRule>
    <cfRule type="expression" dxfId="10871" priority="20362">
      <formula>IF($B35="Quoting",TRUE,FALSE)</formula>
    </cfRule>
    <cfRule type="expression" dxfId="10870" priority="20363">
      <formula>IF($B35="Quoting",TRUE,FALSE)</formula>
    </cfRule>
    <cfRule type="expression" dxfId="10869" priority="20364">
      <formula>IF($B35="Quoting",TRUE,FALSE)</formula>
    </cfRule>
    <cfRule type="expression" dxfId="10868" priority="20365">
      <formula>IF($B35="Quoting",TRUE,FALSE)</formula>
    </cfRule>
    <cfRule type="expression" dxfId="10867" priority="20366">
      <formula>IF($B35="Quoting",TRUE,FALSE)</formula>
    </cfRule>
    <cfRule type="expression" dxfId="10866" priority="20367">
      <formula>IF($B35="Quoting",TRUE,FALSE)</formula>
    </cfRule>
    <cfRule type="expression" dxfId="10865" priority="20368">
      <formula>IF($B35="Quoting",TRUE,FALSE)</formula>
    </cfRule>
    <cfRule type="expression" dxfId="10864" priority="20369">
      <formula>IF($B35="Quoting",TRUE,FALSE)</formula>
    </cfRule>
    <cfRule type="expression" dxfId="10863" priority="20370">
      <formula>IF($B35="Quoting",TRUE,FALSE)</formula>
    </cfRule>
    <cfRule type="expression" dxfId="10862" priority="20371">
      <formula>IF($B35="Quoting",TRUE,FALSE)</formula>
    </cfRule>
    <cfRule type="expression" dxfId="10861" priority="20372">
      <formula>IF($B35="Quoting",TRUE,FALSE)</formula>
    </cfRule>
    <cfRule type="expression" dxfId="10860" priority="20373">
      <formula>IF($B35="Quoting",TRUE,FALSE)</formula>
    </cfRule>
    <cfRule type="expression" dxfId="10859" priority="20374">
      <formula>IF($B35="Quoting",TRUE,FALSE)</formula>
    </cfRule>
    <cfRule type="expression" dxfId="10858" priority="20375">
      <formula>IF($B35="Quoting",TRUE,FALSE)</formula>
    </cfRule>
    <cfRule type="expression" dxfId="10857" priority="20376">
      <formula>IF($B35="Quoting",TRUE,FALSE)</formula>
    </cfRule>
    <cfRule type="expression" dxfId="10856" priority="20377">
      <formula>IF($B35="Quoting",TRUE,FALSE)</formula>
    </cfRule>
    <cfRule type="expression" dxfId="10855" priority="20378">
      <formula>IF($B35="Quoting",TRUE,FALSE)</formula>
    </cfRule>
    <cfRule type="expression" dxfId="10854" priority="20379">
      <formula>IF($B35="Quoting",TRUE,FALSE)</formula>
    </cfRule>
    <cfRule type="expression" dxfId="10853" priority="20380">
      <formula>IF($B35="Quoting",TRUE,FALSE)</formula>
    </cfRule>
    <cfRule type="expression" dxfId="10852" priority="20381">
      <formula>IF($B35="Quoting",TRUE,FALSE)</formula>
    </cfRule>
    <cfRule type="expression" dxfId="10851" priority="20382">
      <formula>IF($B35="Quoting",TRUE,FALSE)</formula>
    </cfRule>
    <cfRule type="expression" dxfId="10850" priority="20383">
      <formula>IF($B35="Quoting",TRUE,FALSE)</formula>
    </cfRule>
    <cfRule type="expression" dxfId="10849" priority="20384">
      <formula>IF($B35="Quoting",TRUE,FALSE)</formula>
    </cfRule>
    <cfRule type="expression" dxfId="10848" priority="20385">
      <formula>IF($B35="Quoting",TRUE,FALSE)</formula>
    </cfRule>
    <cfRule type="expression" dxfId="10847" priority="20386">
      <formula>IF($B35="Quoting",TRUE,FALSE)</formula>
    </cfRule>
    <cfRule type="expression" dxfId="10846" priority="20387">
      <formula>IF($B35="Quoting",TRUE,FALSE)</formula>
    </cfRule>
    <cfRule type="expression" dxfId="10845" priority="20388">
      <formula>IF($B35="Quoting",TRUE,FALSE)</formula>
    </cfRule>
    <cfRule type="expression" dxfId="10844" priority="20389">
      <formula>IF($B35="Quoting",TRUE,FALSE)</formula>
    </cfRule>
    <cfRule type="expression" dxfId="10843" priority="20390">
      <formula>IF($B35="Quoting",TRUE,FALSE)</formula>
    </cfRule>
    <cfRule type="expression" dxfId="10842" priority="20391">
      <formula>IF($B35="Quoting",TRUE,FALSE)</formula>
    </cfRule>
    <cfRule type="expression" dxfId="10841" priority="20392">
      <formula>IF($B35="Quoting",TRUE,FALSE)</formula>
    </cfRule>
    <cfRule type="expression" dxfId="10840" priority="20393">
      <formula>IF($B35="Quoting",TRUE,FALSE)</formula>
    </cfRule>
    <cfRule type="expression" dxfId="10839" priority="20394">
      <formula>IF($B35="Quoting",TRUE,FALSE)</formula>
    </cfRule>
    <cfRule type="expression" dxfId="10838" priority="20395">
      <formula>IF($B35="Quoting",TRUE,FALSE)</formula>
    </cfRule>
    <cfRule type="expression" dxfId="10837" priority="20396">
      <formula>IF($B35="Quoting",TRUE,FALSE)</formula>
    </cfRule>
    <cfRule type="expression" dxfId="10836" priority="20397">
      <formula>IF($B35="Quoting",TRUE,FALSE)</formula>
    </cfRule>
    <cfRule type="expression" dxfId="10835" priority="20398">
      <formula>IF($B35="Quoting",TRUE,FALSE)</formula>
    </cfRule>
    <cfRule type="expression" dxfId="10834" priority="20399">
      <formula>IF($B35="Quoting",TRUE,FALSE)</formula>
    </cfRule>
    <cfRule type="expression" dxfId="10833" priority="20400">
      <formula>IF($B35="Quoting",TRUE,FALSE)</formula>
    </cfRule>
    <cfRule type="expression" dxfId="10832" priority="20401">
      <formula>IF($B35="Quoting",TRUE,FALSE)</formula>
    </cfRule>
    <cfRule type="expression" dxfId="10831" priority="20402">
      <formula>IF($B35="Quoting",TRUE,FALSE)</formula>
    </cfRule>
    <cfRule type="expression" dxfId="10830" priority="20403">
      <formula>IF($B35="Quoting",TRUE,FALSE)</formula>
    </cfRule>
    <cfRule type="expression" dxfId="10829" priority="20404">
      <formula>IF($B35="Quoting",TRUE,FALSE)</formula>
    </cfRule>
    <cfRule type="expression" dxfId="10828" priority="20405">
      <formula>IF($B35="Quoting",TRUE,FALSE)</formula>
    </cfRule>
    <cfRule type="expression" dxfId="10827" priority="20406">
      <formula>IF($B35="Quoting",TRUE,FALSE)</formula>
    </cfRule>
    <cfRule type="expression" dxfId="10826" priority="20407">
      <formula>IF($B35="Quoting",TRUE,FALSE)</formula>
    </cfRule>
    <cfRule type="expression" dxfId="10825" priority="20408">
      <formula>IF($B35="Quoting",TRUE,FALSE)</formula>
    </cfRule>
    <cfRule type="expression" dxfId="10824" priority="20409">
      <formula>IF($B35="Quoting",TRUE,FALSE)</formula>
    </cfRule>
    <cfRule type="expression" dxfId="10823" priority="20410">
      <formula>IF($B35="Quoting",TRUE,FALSE)</formula>
    </cfRule>
    <cfRule type="expression" dxfId="10822" priority="20411">
      <formula>IF($B35="Quoting",TRUE,FALSE)</formula>
    </cfRule>
    <cfRule type="expression" dxfId="10821" priority="20412">
      <formula>IF($B35="Quoting",TRUE,FALSE)</formula>
    </cfRule>
    <cfRule type="expression" dxfId="10820" priority="20413">
      <formula>IF($B35="Quoting",TRUE,FALSE)</formula>
    </cfRule>
    <cfRule type="expression" dxfId="10819" priority="20414">
      <formula>IF($B35="Quoting",TRUE,FALSE)</formula>
    </cfRule>
    <cfRule type="expression" dxfId="10818" priority="20415">
      <formula>IF($B35="Quoting",TRUE,FALSE)</formula>
    </cfRule>
    <cfRule type="expression" dxfId="10817" priority="20416">
      <formula>IF($B35="Quoting",TRUE,FALSE)</formula>
    </cfRule>
    <cfRule type="expression" dxfId="10816" priority="20417">
      <formula>IF($B35="Quoting",TRUE,FALSE)</formula>
    </cfRule>
    <cfRule type="expression" dxfId="10815" priority="20418">
      <formula>IF($B35="Quoting",TRUE,FALSE)</formula>
    </cfRule>
    <cfRule type="expression" dxfId="10814" priority="20419">
      <formula>IF($B35="Quoting",TRUE,FALSE)</formula>
    </cfRule>
    <cfRule type="expression" dxfId="10813" priority="20420">
      <formula>IF($B35="Quoting",TRUE,FALSE)</formula>
    </cfRule>
    <cfRule type="expression" dxfId="10812" priority="20421">
      <formula>IF($B35="Quoting",TRUE,FALSE)</formula>
    </cfRule>
    <cfRule type="expression" dxfId="10811" priority="20422">
      <formula>IF($B35="Quoting",TRUE,FALSE)</formula>
    </cfRule>
    <cfRule type="expression" dxfId="10810" priority="20423">
      <formula>IF($B35="Quoting",TRUE,FALSE)</formula>
    </cfRule>
    <cfRule type="expression" dxfId="10809" priority="20424">
      <formula>IF($B35="Quoting",TRUE,FALSE)</formula>
    </cfRule>
    <cfRule type="expression" dxfId="10808" priority="20425">
      <formula>IF($B35="Quoting",TRUE,FALSE)</formula>
    </cfRule>
    <cfRule type="expression" dxfId="10807" priority="20426">
      <formula>IF($B35="Quoting",TRUE,FALSE)</formula>
    </cfRule>
    <cfRule type="expression" dxfId="10806" priority="20427">
      <formula>IF($B35="Quoting",TRUE,FALSE)</formula>
    </cfRule>
    <cfRule type="expression" dxfId="10805" priority="20428">
      <formula>IF($B35="Quoting",TRUE,FALSE)</formula>
    </cfRule>
    <cfRule type="expression" dxfId="10804" priority="20429">
      <formula>IF($B35="Quoting",TRUE,FALSE)</formula>
    </cfRule>
    <cfRule type="expression" dxfId="10803" priority="20430">
      <formula>IF($B35="Quoting",TRUE,FALSE)</formula>
    </cfRule>
    <cfRule type="expression" dxfId="10802" priority="20431">
      <formula>IF($B35="Quoting",TRUE,FALSE)</formula>
    </cfRule>
    <cfRule type="expression" dxfId="10801" priority="20432">
      <formula>IF($B35="Quoting",TRUE,FALSE)</formula>
    </cfRule>
    <cfRule type="expression" dxfId="10800" priority="20433">
      <formula>IF($B35="Quoting",TRUE,FALSE)</formula>
    </cfRule>
    <cfRule type="expression" dxfId="10799" priority="20434">
      <formula>IF($B35="Quoting",TRUE,FALSE)</formula>
    </cfRule>
    <cfRule type="expression" dxfId="10798" priority="20435">
      <formula>IF($B35="Quoting",TRUE,FALSE)</formula>
    </cfRule>
    <cfRule type="expression" dxfId="10797" priority="20436">
      <formula>IF($B35="Quoting",TRUE,FALSE)</formula>
    </cfRule>
    <cfRule type="expression" dxfId="10796" priority="20437">
      <formula>IF($B35="Quoting",TRUE,FALSE)</formula>
    </cfRule>
    <cfRule type="expression" dxfId="10795" priority="20438">
      <formula>IF($B35="Quoting",TRUE,FALSE)</formula>
    </cfRule>
    <cfRule type="expression" dxfId="10794" priority="20439">
      <formula>IF($B35="Quoting",TRUE,FALSE)</formula>
    </cfRule>
    <cfRule type="expression" dxfId="10793" priority="20440">
      <formula>IF($B35="Quoting",TRUE,FALSE)</formula>
    </cfRule>
    <cfRule type="expression" dxfId="10792" priority="20441">
      <formula>IF($B35="Quoting",TRUE,FALSE)</formula>
    </cfRule>
    <cfRule type="expression" dxfId="10791" priority="20442">
      <formula>IF($B35="Quoting",TRUE,FALSE)</formula>
    </cfRule>
    <cfRule type="expression" dxfId="10790" priority="20443">
      <formula>IF($B35="Quoting",TRUE,FALSE)</formula>
    </cfRule>
    <cfRule type="expression" dxfId="10789" priority="20444">
      <formula>IF($B35="Quoting",TRUE,FALSE)</formula>
    </cfRule>
    <cfRule type="expression" dxfId="10788" priority="20445">
      <formula>IF($B35="Quoting",TRUE,FALSE)</formula>
    </cfRule>
    <cfRule type="expression" dxfId="10787" priority="20446">
      <formula>IF($B35="Quoting",TRUE,FALSE)</formula>
    </cfRule>
    <cfRule type="expression" dxfId="10786" priority="20447">
      <formula>IF($B35="Quoting",TRUE,FALSE)</formula>
    </cfRule>
    <cfRule type="expression" dxfId="10785" priority="20448">
      <formula>IF($B35="Quoting",TRUE,FALSE)</formula>
    </cfRule>
    <cfRule type="expression" dxfId="10784" priority="20449">
      <formula>IF($B35="Quoting",TRUE,FALSE)</formula>
    </cfRule>
    <cfRule type="expression" dxfId="10783" priority="20450">
      <formula>IF($B35="Quoting",TRUE,FALSE)</formula>
    </cfRule>
    <cfRule type="expression" dxfId="10782" priority="20451">
      <formula>IF($B35="Quoting",TRUE,FALSE)</formula>
    </cfRule>
    <cfRule type="expression" dxfId="10781" priority="20452">
      <formula>IF($B35="Quoting",TRUE,FALSE)</formula>
    </cfRule>
    <cfRule type="expression" dxfId="10780" priority="20453">
      <formula>IF($B35="Quoting",TRUE,FALSE)</formula>
    </cfRule>
    <cfRule type="expression" dxfId="10779" priority="20454">
      <formula>IF($B35="Quoting",TRUE,FALSE)</formula>
    </cfRule>
    <cfRule type="expression" dxfId="10778" priority="20455">
      <formula>IF($B35="Quoting",TRUE,FALSE)</formula>
    </cfRule>
    <cfRule type="expression" dxfId="10777" priority="20456">
      <formula>IF($B35="Quoting",TRUE,FALSE)</formula>
    </cfRule>
    <cfRule type="expression" dxfId="10776" priority="20457">
      <formula>IF($B35="Quoting",TRUE,FALSE)</formula>
    </cfRule>
    <cfRule type="expression" dxfId="10775" priority="20458">
      <formula>IF($B35="Quoting",TRUE,FALSE)</formula>
    </cfRule>
    <cfRule type="expression" dxfId="10774" priority="20459">
      <formula>IF($B35="Quoting",TRUE,FALSE)</formula>
    </cfRule>
    <cfRule type="expression" dxfId="10773" priority="20460">
      <formula>IF($B35="Quoting",TRUE,FALSE)</formula>
    </cfRule>
    <cfRule type="expression" dxfId="10772" priority="20461">
      <formula>IF($B35="Quoting",TRUE,FALSE)</formula>
    </cfRule>
    <cfRule type="expression" dxfId="10771" priority="20462">
      <formula>IF($B35="Quoting",TRUE,FALSE)</formula>
    </cfRule>
    <cfRule type="expression" dxfId="10770" priority="20463">
      <formula>IF($B35="Quoting",TRUE,FALSE)</formula>
    </cfRule>
    <cfRule type="expression" dxfId="10769" priority="20464">
      <formula>IF($B35="Quoting",TRUE,FALSE)</formula>
    </cfRule>
    <cfRule type="expression" dxfId="10768" priority="20465">
      <formula>IF($B35="Quoting",TRUE,FALSE)</formula>
    </cfRule>
    <cfRule type="expression" dxfId="10767" priority="20466">
      <formula>IF($B35="Quoting",TRUE,FALSE)</formula>
    </cfRule>
    <cfRule type="expression" dxfId="10766" priority="20467">
      <formula>IF($B35="Quoting",TRUE,FALSE)</formula>
    </cfRule>
    <cfRule type="expression" dxfId="10765" priority="20468">
      <formula>IF($B35="Quoting",TRUE,FALSE)</formula>
    </cfRule>
    <cfRule type="expression" dxfId="10764" priority="20469">
      <formula>IF($B35="Quoting",TRUE,FALSE)</formula>
    </cfRule>
    <cfRule type="expression" dxfId="10763" priority="20470">
      <formula>IF($B35="Quoting",TRUE,FALSE)</formula>
    </cfRule>
    <cfRule type="expression" dxfId="10762" priority="20471">
      <formula>IF($B35="Quoting",TRUE,FALSE)</formula>
    </cfRule>
    <cfRule type="expression" dxfId="10761" priority="20472">
      <formula>IF($B35="Quoting",TRUE,FALSE)</formula>
    </cfRule>
    <cfRule type="expression" dxfId="10760" priority="20473">
      <formula>IF($B35="Quoting",TRUE,FALSE)</formula>
    </cfRule>
    <cfRule type="expression" dxfId="10759" priority="20474">
      <formula>IF($B35="Quoting",TRUE,FALSE)</formula>
    </cfRule>
    <cfRule type="expression" dxfId="10758" priority="20475">
      <formula>IF($B35="Quoting",TRUE,FALSE)</formula>
    </cfRule>
    <cfRule type="expression" dxfId="10757" priority="20476">
      <formula>IF($B35="Quoting",TRUE,FALSE)</formula>
    </cfRule>
    <cfRule type="expression" dxfId="10756" priority="20477">
      <formula>IF($B35="Quoting",TRUE,FALSE)</formula>
    </cfRule>
    <cfRule type="expression" dxfId="10755" priority="20478">
      <formula>IF($B35="Quoting",TRUE,FALSE)</formula>
    </cfRule>
    <cfRule type="expression" dxfId="10754" priority="20479">
      <formula>IF($B35="Quoting",TRUE,FALSE)</formula>
    </cfRule>
    <cfRule type="expression" dxfId="10753" priority="20480">
      <formula>IF($B35="Quoting",TRUE,FALSE)</formula>
    </cfRule>
    <cfRule type="expression" dxfId="10752" priority="20481">
      <formula>IF($B35="Quoting",TRUE,FALSE)</formula>
    </cfRule>
    <cfRule type="expression" dxfId="10751" priority="20482">
      <formula>IF($B35="Quoting",TRUE,FALSE)</formula>
    </cfRule>
    <cfRule type="expression" dxfId="10750" priority="20483">
      <formula>IF($B35="Quoting",TRUE,FALSE)</formula>
    </cfRule>
    <cfRule type="expression" dxfId="10749" priority="20484">
      <formula>IF($B35="Quoting",TRUE,FALSE)</formula>
    </cfRule>
    <cfRule type="expression" dxfId="10748" priority="20485">
      <formula>IF($B35="Quoting",TRUE,FALSE)</formula>
    </cfRule>
    <cfRule type="expression" dxfId="10747" priority="20486">
      <formula>IF($B35="Quoting",TRUE,FALSE)</formula>
    </cfRule>
    <cfRule type="expression" dxfId="10746" priority="20487">
      <formula>IF($B35="Quoting",TRUE,FALSE)</formula>
    </cfRule>
    <cfRule type="expression" dxfId="10745" priority="20488">
      <formula>IF($B35="Quoting",TRUE,FALSE)</formula>
    </cfRule>
    <cfRule type="expression" dxfId="10744" priority="20489">
      <formula>IF($B35="Quoting",TRUE,FALSE)</formula>
    </cfRule>
    <cfRule type="expression" dxfId="10743" priority="20490">
      <formula>IF($B35="Quoting",TRUE,FALSE)</formula>
    </cfRule>
    <cfRule type="expression" dxfId="10742" priority="20491">
      <formula>IF($B35="Quoting",TRUE,FALSE)</formula>
    </cfRule>
    <cfRule type="expression" dxfId="10741" priority="20492">
      <formula>IF($B35="Quoting",TRUE,FALSE)</formula>
    </cfRule>
    <cfRule type="expression" dxfId="10740" priority="20493">
      <formula>IF($B35="Quoting",TRUE,FALSE)</formula>
    </cfRule>
    <cfRule type="expression" dxfId="10739" priority="20494">
      <formula>IF($B35="Quoting",TRUE,FALSE)</formula>
    </cfRule>
    <cfRule type="expression" dxfId="10738" priority="20495">
      <formula>IF($B35="Quoting",TRUE,FALSE)</formula>
    </cfRule>
    <cfRule type="expression" dxfId="10737" priority="20496">
      <formula>IF($B35="Quoting",TRUE,FALSE)</formula>
    </cfRule>
    <cfRule type="expression" dxfId="10736" priority="20497">
      <formula>IF($B35="Quoting",TRUE,FALSE)</formula>
    </cfRule>
    <cfRule type="expression" dxfId="10735" priority="20498">
      <formula>IF($B35="Quoting",TRUE,FALSE)</formula>
    </cfRule>
    <cfRule type="expression" dxfId="10734" priority="20499">
      <formula>IF($B35="Quoting",TRUE,FALSE)</formula>
    </cfRule>
    <cfRule type="expression" dxfId="10733" priority="20500">
      <formula>IF($B35="Quoting",TRUE,FALSE)</formula>
    </cfRule>
    <cfRule type="expression" dxfId="10732" priority="20501">
      <formula>IF($B35="Quoting",TRUE,FALSE)</formula>
    </cfRule>
    <cfRule type="expression" dxfId="10731" priority="20502">
      <formula>IF($B35="Quoting",TRUE,FALSE)</formula>
    </cfRule>
    <cfRule type="expression" dxfId="10730" priority="20503">
      <formula>IF($B35="Quoting",TRUE,FALSE)</formula>
    </cfRule>
    <cfRule type="expression" dxfId="10729" priority="20504">
      <formula>IF($B35="Quoting",TRUE,FALSE)</formula>
    </cfRule>
    <cfRule type="expression" dxfId="10728" priority="20505">
      <formula>IF($B35="Quoting",TRUE,FALSE)</formula>
    </cfRule>
    <cfRule type="expression" dxfId="10727" priority="20506">
      <formula>IF($B35="Quoting",TRUE,FALSE)</formula>
    </cfRule>
    <cfRule type="expression" dxfId="10726" priority="20507">
      <formula>IF($B35="Quoting",TRUE,FALSE)</formula>
    </cfRule>
    <cfRule type="expression" dxfId="10725" priority="20508">
      <formula>IF($B35="Quoting",TRUE,FALSE)</formula>
    </cfRule>
    <cfRule type="expression" dxfId="10724" priority="20509">
      <formula>IF($B35="Quoting",TRUE,FALSE)</formula>
    </cfRule>
    <cfRule type="expression" dxfId="10723" priority="20510">
      <formula>IF($B35="Quoting",TRUE,FALSE)</formula>
    </cfRule>
    <cfRule type="expression" dxfId="10722" priority="20511">
      <formula>IF($B35="Quoting",TRUE,FALSE)</formula>
    </cfRule>
    <cfRule type="expression" dxfId="10721" priority="20512">
      <formula>IF($B35="Quoting",TRUE,FALSE)</formula>
    </cfRule>
    <cfRule type="expression" dxfId="10720" priority="20513">
      <formula>IF($B35="Quoting",TRUE,FALSE)</formula>
    </cfRule>
    <cfRule type="expression" dxfId="10719" priority="20514">
      <formula>IF($B35="Quoting",TRUE,FALSE)</formula>
    </cfRule>
    <cfRule type="expression" dxfId="10718" priority="20515">
      <formula>IF($B35="Quoting",TRUE,FALSE)</formula>
    </cfRule>
    <cfRule type="expression" dxfId="10717" priority="20516">
      <formula>IF($B35="Quoting",TRUE,FALSE)</formula>
    </cfRule>
    <cfRule type="expression" dxfId="10716" priority="20517">
      <formula>IF($B35="Quoting",TRUE,FALSE)</formula>
    </cfRule>
    <cfRule type="expression" dxfId="10715" priority="20518">
      <formula>IF($B35="Quoting",TRUE,FALSE)</formula>
    </cfRule>
    <cfRule type="expression" dxfId="10714" priority="20519">
      <formula>IF($B35="Quoting",TRUE,FALSE)</formula>
    </cfRule>
    <cfRule type="expression" dxfId="10713" priority="20520">
      <formula>IF($B35="Quoting",TRUE,FALSE)</formula>
    </cfRule>
    <cfRule type="expression" dxfId="10712" priority="20521">
      <formula>IF($B35="Quoting",TRUE,FALSE)</formula>
    </cfRule>
    <cfRule type="expression" dxfId="10711" priority="20522">
      <formula>IF($B35="Quoting",TRUE,FALSE)</formula>
    </cfRule>
    <cfRule type="expression" dxfId="10710" priority="20523">
      <formula>IF($B35="Quoting",TRUE,FALSE)</formula>
    </cfRule>
    <cfRule type="expression" dxfId="10709" priority="20524">
      <formula>IF($B35="Quoting",TRUE,FALSE)</formula>
    </cfRule>
    <cfRule type="expression" dxfId="10708" priority="20525">
      <formula>IF($B35="Quoting",TRUE,FALSE)</formula>
    </cfRule>
    <cfRule type="expression" dxfId="10707" priority="20526">
      <formula>IF($B35="Quoting",TRUE,FALSE)</formula>
    </cfRule>
    <cfRule type="expression" dxfId="10706" priority="20527">
      <formula>IF($B35="Quoting",TRUE,FALSE)</formula>
    </cfRule>
    <cfRule type="expression" dxfId="10705" priority="20528">
      <formula>IF($B35="Quoting",TRUE,FALSE)</formula>
    </cfRule>
    <cfRule type="expression" dxfId="10704" priority="20529">
      <formula>IF($B35="Quoting",TRUE,FALSE)</formula>
    </cfRule>
    <cfRule type="expression" dxfId="10703" priority="20530">
      <formula>IF($B35="Quoting",TRUE,FALSE)</formula>
    </cfRule>
    <cfRule type="expression" dxfId="10702" priority="20531">
      <formula>IF($B35="Quoting",TRUE,FALSE)</formula>
    </cfRule>
    <cfRule type="expression" dxfId="10701" priority="20532">
      <formula>IF($B35="Quoting",TRUE,FALSE)</formula>
    </cfRule>
    <cfRule type="expression" dxfId="10700" priority="20533">
      <formula>IF($B35="Quoting",TRUE,FALSE)</formula>
    </cfRule>
    <cfRule type="expression" dxfId="10699" priority="20534">
      <formula>IF($B35="Quoting",TRUE,FALSE)</formula>
    </cfRule>
    <cfRule type="expression" dxfId="10698" priority="20535">
      <formula>IF($B35="Quoting",TRUE,FALSE)</formula>
    </cfRule>
    <cfRule type="expression" dxfId="10697" priority="20536">
      <formula>IF($B35="Quoting",TRUE,FALSE)</formula>
    </cfRule>
    <cfRule type="expression" dxfId="10696" priority="20537">
      <formula>IF($B35="Quoting",TRUE,FALSE)</formula>
    </cfRule>
    <cfRule type="expression" dxfId="10695" priority="20538">
      <formula>IF($B35="Quoting",TRUE,FALSE)</formula>
    </cfRule>
    <cfRule type="expression" dxfId="10694" priority="20539">
      <formula>IF($B35="Quoting",TRUE,FALSE)</formula>
    </cfRule>
    <cfRule type="expression" dxfId="10693" priority="20540">
      <formula>IF($B35="Quoting",TRUE,FALSE)</formula>
    </cfRule>
    <cfRule type="expression" dxfId="10692" priority="20541">
      <formula>IF($B35="Quoting",TRUE,FALSE)</formula>
    </cfRule>
    <cfRule type="expression" dxfId="10691" priority="20542">
      <formula>IF($B35="Quoting",TRUE,FALSE)</formula>
    </cfRule>
    <cfRule type="expression" dxfId="10690" priority="20543">
      <formula>IF($B35="Quoting",TRUE,FALSE)</formula>
    </cfRule>
    <cfRule type="expression" dxfId="10689" priority="20544">
      <formula>IF($B35="Quoting",TRUE,FALSE)</formula>
    </cfRule>
    <cfRule type="expression" dxfId="10688" priority="20545">
      <formula>IF($B35="Quoting",TRUE,FALSE)</formula>
    </cfRule>
    <cfRule type="expression" dxfId="10687" priority="20546">
      <formula>IF($B35="Quoting",TRUE,FALSE)</formula>
    </cfRule>
    <cfRule type="expression" dxfId="10686" priority="20547">
      <formula>IF($B35="Quoting",TRUE,FALSE)</formula>
    </cfRule>
    <cfRule type="expression" dxfId="10685" priority="20548">
      <formula>IF($B35="Quoting",TRUE,FALSE)</formula>
    </cfRule>
    <cfRule type="expression" dxfId="10684" priority="20549">
      <formula>IF($B35="Quoting",TRUE,FALSE)</formula>
    </cfRule>
    <cfRule type="expression" dxfId="10683" priority="20550">
      <formula>IF($B35="Quoting",TRUE,FALSE)</formula>
    </cfRule>
    <cfRule type="expression" dxfId="10682" priority="20551">
      <formula>IF($B35="Quoting",TRUE,FALSE)</formula>
    </cfRule>
    <cfRule type="expression" dxfId="10681" priority="20552">
      <formula>IF($B35="Quoting",TRUE,FALSE)</formula>
    </cfRule>
    <cfRule type="expression" dxfId="10680" priority="20553">
      <formula>IF($B35="Quoting",TRUE,FALSE)</formula>
    </cfRule>
    <cfRule type="expression" dxfId="10679" priority="20554">
      <formula>IF($B35="Quoting",TRUE,FALSE)</formula>
    </cfRule>
    <cfRule type="expression" dxfId="10678" priority="20555">
      <formula>IF($B35="Quoting",TRUE,FALSE)</formula>
    </cfRule>
    <cfRule type="expression" dxfId="10677" priority="20556">
      <formula>IF($B35="Quoting",TRUE,FALSE)</formula>
    </cfRule>
    <cfRule type="expression" dxfId="10676" priority="20557">
      <formula>IF($B35="Quoting",TRUE,FALSE)</formula>
    </cfRule>
    <cfRule type="expression" dxfId="10675" priority="20558">
      <formula>IF($B35="Quoting",TRUE,FALSE)</formula>
    </cfRule>
    <cfRule type="expression" dxfId="10674" priority="20559">
      <formula>IF($B35="Quoting",TRUE,FALSE)</formula>
    </cfRule>
    <cfRule type="expression" dxfId="10673" priority="20560">
      <formula>IF($B35="Quoting",TRUE,FALSE)</formula>
    </cfRule>
    <cfRule type="expression" dxfId="10672" priority="20561">
      <formula>IF($B35="Quoting",TRUE,FALSE)</formula>
    </cfRule>
    <cfRule type="expression" dxfId="10671" priority="20562">
      <formula>IF($B35="Quoting",TRUE,FALSE)</formula>
    </cfRule>
    <cfRule type="expression" dxfId="10670" priority="20563">
      <formula>IF($B35="Quoting",TRUE,FALSE)</formula>
    </cfRule>
    <cfRule type="expression" dxfId="10669" priority="20564">
      <formula>IF($B35="Quoting",TRUE,FALSE)</formula>
    </cfRule>
    <cfRule type="expression" dxfId="10668" priority="20565">
      <formula>IF($B35="Quoting",TRUE,FALSE)</formula>
    </cfRule>
    <cfRule type="expression" dxfId="10667" priority="20566">
      <formula>IF($B35="Quoting",TRUE,FALSE)</formula>
    </cfRule>
    <cfRule type="expression" dxfId="10666" priority="20567">
      <formula>IF($B35="Quoting",TRUE,FALSE)</formula>
    </cfRule>
    <cfRule type="expression" dxfId="10665" priority="20568">
      <formula>IF($B35="Quoting",TRUE,FALSE)</formula>
    </cfRule>
    <cfRule type="expression" dxfId="10664" priority="20569">
      <formula>IF($B35="Quoting",TRUE,FALSE)</formula>
    </cfRule>
    <cfRule type="expression" dxfId="10663" priority="20570">
      <formula>IF($B35="Quoting",TRUE,FALSE)</formula>
    </cfRule>
    <cfRule type="expression" dxfId="10662" priority="20571">
      <formula>IF($B35="Quoting",TRUE,FALSE)</formula>
    </cfRule>
    <cfRule type="expression" dxfId="10661" priority="20572">
      <formula>IF($B35="Quoting",TRUE,FALSE)</formula>
    </cfRule>
    <cfRule type="expression" dxfId="10660" priority="20573">
      <formula>IF($B35="Quoting",TRUE,FALSE)</formula>
    </cfRule>
    <cfRule type="expression" dxfId="10659" priority="20574">
      <formula>IF($B35="Quoting",TRUE,FALSE)</formula>
    </cfRule>
    <cfRule type="expression" dxfId="10658" priority="20575">
      <formula>IF($B35="Quoting",TRUE,FALSE)</formula>
    </cfRule>
    <cfRule type="expression" dxfId="10657" priority="20576">
      <formula>IF($B35="Quoting",TRUE,FALSE)</formula>
    </cfRule>
    <cfRule type="expression" dxfId="10656" priority="20577">
      <formula>IF($B35="Quoting",TRUE,FALSE)</formula>
    </cfRule>
    <cfRule type="expression" dxfId="10655" priority="20578">
      <formula>IF($B35="Quoting",TRUE,FALSE)</formula>
    </cfRule>
    <cfRule type="expression" dxfId="10654" priority="20579">
      <formula>IF($B35="Quoting",TRUE,FALSE)</formula>
    </cfRule>
    <cfRule type="expression" dxfId="10653" priority="20580">
      <formula>IF($B35="Quoting",TRUE,FALSE)</formula>
    </cfRule>
    <cfRule type="expression" dxfId="10652" priority="20581">
      <formula>IF($B35="Quoting",TRUE,FALSE)</formula>
    </cfRule>
    <cfRule type="expression" dxfId="10651" priority="20582">
      <formula>IF($B35="Quoting",TRUE,FALSE)</formula>
    </cfRule>
    <cfRule type="expression" dxfId="10650" priority="20583">
      <formula>IF($B35="Quoting",TRUE,FALSE)</formula>
    </cfRule>
    <cfRule type="expression" dxfId="10649" priority="20584">
      <formula>IF($B35="Quoting",TRUE,FALSE)</formula>
    </cfRule>
    <cfRule type="expression" dxfId="10648" priority="20585">
      <formula>IF($B35="Quoting",TRUE,FALSE)</formula>
    </cfRule>
    <cfRule type="expression" dxfId="10647" priority="20586">
      <formula>IF($B35="Quoting",TRUE,FALSE)</formula>
    </cfRule>
    <cfRule type="expression" dxfId="10646" priority="20587">
      <formula>IF($B35="Quoting",TRUE,FALSE)</formula>
    </cfRule>
    <cfRule type="expression" dxfId="10645" priority="20588">
      <formula>IF($B35="Quoting",TRUE,FALSE)</formula>
    </cfRule>
    <cfRule type="expression" dxfId="10644" priority="20589">
      <formula>IF($B35="Quoting",TRUE,FALSE)</formula>
    </cfRule>
    <cfRule type="expression" dxfId="10643" priority="20590">
      <formula>IF($B35="Quoting",TRUE,FALSE)</formula>
    </cfRule>
    <cfRule type="expression" dxfId="10642" priority="20591">
      <formula>IF($B35="Quoting",TRUE,FALSE)</formula>
    </cfRule>
    <cfRule type="expression" dxfId="10641" priority="20592">
      <formula>IF($B35="Quoting",TRUE,FALSE)</formula>
    </cfRule>
    <cfRule type="expression" dxfId="10640" priority="20593">
      <formula>IF($B35="Quoting",TRUE,FALSE)</formula>
    </cfRule>
    <cfRule type="expression" dxfId="10639" priority="20594">
      <formula>IF($B35="Quoting",TRUE,FALSE)</formula>
    </cfRule>
    <cfRule type="expression" dxfId="10638" priority="20595">
      <formula>IF($B35="Quoting",TRUE,FALSE)</formula>
    </cfRule>
    <cfRule type="expression" dxfId="10637" priority="20596">
      <formula>IF($B35="Quoting",TRUE,FALSE)</formula>
    </cfRule>
    <cfRule type="expression" dxfId="10636" priority="20597">
      <formula>IF($B35="Quoting",TRUE,FALSE)</formula>
    </cfRule>
    <cfRule type="expression" dxfId="10635" priority="20598">
      <formula>IF($B35="Quoting",TRUE,FALSE)</formula>
    </cfRule>
    <cfRule type="expression" dxfId="10634" priority="20599">
      <formula>IF($B35="Quoting",TRUE,FALSE)</formula>
    </cfRule>
    <cfRule type="expression" dxfId="10633" priority="20600">
      <formula>IF($B35="Quoting",TRUE,FALSE)</formula>
    </cfRule>
    <cfRule type="expression" dxfId="10632" priority="20601">
      <formula>IF($B35="Quoting",TRUE,FALSE)</formula>
    </cfRule>
    <cfRule type="expression" dxfId="10631" priority="20602">
      <formula>IF($B35="Quoting",TRUE,FALSE)</formula>
    </cfRule>
    <cfRule type="expression" dxfId="10630" priority="20603">
      <formula>IF($B35="Quoting",TRUE,FALSE)</formula>
    </cfRule>
    <cfRule type="expression" dxfId="10629" priority="20604">
      <formula>IF($B35="Quoting",TRUE,FALSE)</formula>
    </cfRule>
    <cfRule type="expression" dxfId="10628" priority="20605">
      <formula>IF($B35="Quoting",TRUE,FALSE)</formula>
    </cfRule>
    <cfRule type="expression" dxfId="10627" priority="20606">
      <formula>IF($B35="Quoting",TRUE,FALSE)</formula>
    </cfRule>
    <cfRule type="expression" dxfId="10626" priority="20607">
      <formula>IF($B35="Quoting",TRUE,FALSE)</formula>
    </cfRule>
    <cfRule type="expression" dxfId="10625" priority="20608">
      <formula>IF($B35="Quoting",TRUE,FALSE)</formula>
    </cfRule>
    <cfRule type="expression" dxfId="10624" priority="20609">
      <formula>IF($B35="Quoting",TRUE,FALSE)</formula>
    </cfRule>
    <cfRule type="expression" dxfId="10623" priority="20610">
      <formula>IF($B35="Quoting",TRUE,FALSE)</formula>
    </cfRule>
    <cfRule type="expression" dxfId="10622" priority="20611">
      <formula>IF($B35="Quoting",TRUE,FALSE)</formula>
    </cfRule>
    <cfRule type="expression" dxfId="10621" priority="20612">
      <formula>IF($B35="Quoting",TRUE,FALSE)</formula>
    </cfRule>
    <cfRule type="expression" dxfId="10620" priority="20613">
      <formula>IF($B35="Quoting",TRUE,FALSE)</formula>
    </cfRule>
    <cfRule type="expression" dxfId="10619" priority="20614">
      <formula>IF($B35="Quoting",TRUE,FALSE)</formula>
    </cfRule>
    <cfRule type="expression" dxfId="10618" priority="20615">
      <formula>IF($B35="Quoting",TRUE,FALSE)</formula>
    </cfRule>
    <cfRule type="expression" dxfId="10617" priority="20616">
      <formula>IF($B35="Quoting",TRUE,FALSE)</formula>
    </cfRule>
    <cfRule type="expression" dxfId="10616" priority="20617">
      <formula>IF($B35="Quoting",TRUE,FALSE)</formula>
    </cfRule>
    <cfRule type="expression" dxfId="10615" priority="20618">
      <formula>IF($B35="Quoting",TRUE,FALSE)</formula>
    </cfRule>
    <cfRule type="expression" dxfId="10614" priority="20619">
      <formula>IF($B35="Quoting",TRUE,FALSE)</formula>
    </cfRule>
    <cfRule type="expression" dxfId="10613" priority="20620">
      <formula>IF($B35="Quoting",TRUE,FALSE)</formula>
    </cfRule>
    <cfRule type="expression" dxfId="10612" priority="20621">
      <formula>IF($B35="Quoting",TRUE,FALSE)</formula>
    </cfRule>
    <cfRule type="expression" dxfId="10611" priority="20622">
      <formula>IF($B35="Quoting",TRUE,FALSE)</formula>
    </cfRule>
    <cfRule type="expression" dxfId="10610" priority="20623">
      <formula>IF($B35="Quoting",TRUE,FALSE)</formula>
    </cfRule>
    <cfRule type="expression" dxfId="10609" priority="20624">
      <formula>IF($B35="Quoting",TRUE,FALSE)</formula>
    </cfRule>
    <cfRule type="expression" dxfId="10608" priority="20625">
      <formula>IF($B35="Quoting",TRUE,FALSE)</formula>
    </cfRule>
    <cfRule type="expression" dxfId="10607" priority="20626">
      <formula>IF($B35="Quoting",TRUE,FALSE)</formula>
    </cfRule>
    <cfRule type="expression" dxfId="10606" priority="20627">
      <formula>IF($B35="Quoting",TRUE,FALSE)</formula>
    </cfRule>
    <cfRule type="expression" dxfId="10605" priority="20628">
      <formula>IF($B35="Quoting",TRUE,FALSE)</formula>
    </cfRule>
    <cfRule type="expression" dxfId="10604" priority="20629">
      <formula>IF($B35="Quoting",TRUE,FALSE)</formula>
    </cfRule>
    <cfRule type="expression" dxfId="10603" priority="20630">
      <formula>IF($B35="Quoting",TRUE,FALSE)</formula>
    </cfRule>
    <cfRule type="expression" dxfId="10602" priority="20631">
      <formula>IF($B35="Quoting",TRUE,FALSE)</formula>
    </cfRule>
    <cfRule type="expression" dxfId="10601" priority="20632">
      <formula>IF($B35="Quoting",TRUE,FALSE)</formula>
    </cfRule>
    <cfRule type="expression" dxfId="10600" priority="20633">
      <formula>IF($B35="Quoting",TRUE,FALSE)</formula>
    </cfRule>
    <cfRule type="expression" dxfId="10599" priority="20634">
      <formula>IF($B35="Quoting",TRUE,FALSE)</formula>
    </cfRule>
    <cfRule type="expression" dxfId="10598" priority="20635">
      <formula>IF($B35="Quoting",TRUE,FALSE)</formula>
    </cfRule>
    <cfRule type="expression" dxfId="10597" priority="20636">
      <formula>IF($B35="Quoting",TRUE,FALSE)</formula>
    </cfRule>
    <cfRule type="expression" dxfId="10596" priority="20637">
      <formula>IF($B35="Quoting",TRUE,FALSE)</formula>
    </cfRule>
    <cfRule type="expression" dxfId="10595" priority="20638">
      <formula>IF($B35="Quoting",TRUE,FALSE)</formula>
    </cfRule>
    <cfRule type="expression" dxfId="10594" priority="20639">
      <formula>IF($B35="Quoting",TRUE,FALSE)</formula>
    </cfRule>
    <cfRule type="expression" dxfId="10593" priority="20640">
      <formula>IF($B35="Quoting",TRUE,FALSE)</formula>
    </cfRule>
    <cfRule type="expression" dxfId="10592" priority="20641">
      <formula>IF($B35="Quoting",TRUE,FALSE)</formula>
    </cfRule>
    <cfRule type="expression" dxfId="10591" priority="20642">
      <formula>IF($B35="Quoting",TRUE,FALSE)</formula>
    </cfRule>
    <cfRule type="expression" dxfId="10590" priority="20643">
      <formula>IF($B35="Quoting",TRUE,FALSE)</formula>
    </cfRule>
    <cfRule type="expression" dxfId="10589" priority="20644">
      <formula>IF($B35="Quoting",TRUE,FALSE)</formula>
    </cfRule>
    <cfRule type="expression" dxfId="10588" priority="20645">
      <formula>IF($B35="Quoting",TRUE,FALSE)</formula>
    </cfRule>
    <cfRule type="expression" dxfId="10587" priority="20646">
      <formula>IF($B35="Quoting",TRUE,FALSE)</formula>
    </cfRule>
    <cfRule type="expression" dxfId="10586" priority="20647">
      <formula>IF($B35="Quoting",TRUE,FALSE)</formula>
    </cfRule>
    <cfRule type="expression" dxfId="10585" priority="20648">
      <formula>IF($B35="Quoting",TRUE,FALSE)</formula>
    </cfRule>
    <cfRule type="expression" dxfId="10584" priority="20649">
      <formula>IF($B35="Quoting",TRUE,FALSE)</formula>
    </cfRule>
    <cfRule type="expression" dxfId="10583" priority="20650">
      <formula>IF($B35="Quoting",TRUE,FALSE)</formula>
    </cfRule>
    <cfRule type="expression" dxfId="10582" priority="20651">
      <formula>IF($B35="Quoting",TRUE,FALSE)</formula>
    </cfRule>
    <cfRule type="expression" dxfId="10581" priority="20652">
      <formula>IF($B35="Quoting",TRUE,FALSE)</formula>
    </cfRule>
    <cfRule type="expression" dxfId="10580" priority="20653">
      <formula>IF($B35="Quoting",TRUE,FALSE)</formula>
    </cfRule>
    <cfRule type="expression" dxfId="10579" priority="20654">
      <formula>IF($B35="Quoting",TRUE,FALSE)</formula>
    </cfRule>
    <cfRule type="expression" dxfId="10578" priority="20655">
      <formula>IF($B35="Quoting",TRUE,FALSE)</formula>
    </cfRule>
    <cfRule type="expression" dxfId="10577" priority="20656">
      <formula>IF($B35="Quoting",TRUE,FALSE)</formula>
    </cfRule>
    <cfRule type="expression" dxfId="10576" priority="20657">
      <formula>IF($B35="Quoting",TRUE,FALSE)</formula>
    </cfRule>
    <cfRule type="expression" dxfId="10575" priority="20658">
      <formula>IF($B35="Quoting",TRUE,FALSE)</formula>
    </cfRule>
    <cfRule type="expression" dxfId="10574" priority="20659">
      <formula>IF($B35="Quoting",TRUE,FALSE)</formula>
    </cfRule>
    <cfRule type="expression" dxfId="10573" priority="20660">
      <formula>IF($B35="Quoting",TRUE,FALSE)</formula>
    </cfRule>
    <cfRule type="expression" dxfId="10572" priority="20661">
      <formula>IF($B35="Quoting",TRUE,FALSE)</formula>
    </cfRule>
    <cfRule type="expression" dxfId="10571" priority="20662">
      <formula>IF($B35="Quoting",TRUE,FALSE)</formula>
    </cfRule>
    <cfRule type="expression" dxfId="10570" priority="20663">
      <formula>IF($B35="Quoting",TRUE,FALSE)</formula>
    </cfRule>
    <cfRule type="expression" dxfId="10569" priority="20664">
      <formula>IF($B35="Quoting",TRUE,FALSE)</formula>
    </cfRule>
    <cfRule type="expression" dxfId="10568" priority="20665">
      <formula>IF($B35="Quoting",TRUE,FALSE)</formula>
    </cfRule>
    <cfRule type="expression" dxfId="10567" priority="20666">
      <formula>IF($B35="Quoting",TRUE,FALSE)</formula>
    </cfRule>
    <cfRule type="expression" dxfId="10566" priority="20667">
      <formula>IF($B35="Quoting",TRUE,FALSE)</formula>
    </cfRule>
    <cfRule type="expression" dxfId="10565" priority="20668">
      <formula>IF($B35="Quoting",TRUE,FALSE)</formula>
    </cfRule>
    <cfRule type="expression" dxfId="10564" priority="20669">
      <formula>IF($B35="Quoting",TRUE,FALSE)</formula>
    </cfRule>
    <cfRule type="expression" dxfId="10563" priority="20670">
      <formula>IF($B35="Quoting",TRUE,FALSE)</formula>
    </cfRule>
    <cfRule type="expression" dxfId="10562" priority="20671">
      <formula>IF($B35="Quoting",TRUE,FALSE)</formula>
    </cfRule>
    <cfRule type="expression" dxfId="10561" priority="20672">
      <formula>IF($B35="Quoting",TRUE,FALSE)</formula>
    </cfRule>
    <cfRule type="expression" dxfId="10560" priority="20673">
      <formula>IF($B35="Quoting",TRUE,FALSE)</formula>
    </cfRule>
    <cfRule type="expression" dxfId="10559" priority="20674">
      <formula>IF($B35="Quoting",TRUE,FALSE)</formula>
    </cfRule>
    <cfRule type="expression" dxfId="10558" priority="20675">
      <formula>IF($B35="Quoting",TRUE,FALSE)</formula>
    </cfRule>
    <cfRule type="expression" dxfId="10557" priority="20676">
      <formula>IF($B35="Quoting",TRUE,FALSE)</formula>
    </cfRule>
    <cfRule type="expression" dxfId="10556" priority="20677">
      <formula>IF($B35="Quoting",TRUE,FALSE)</formula>
    </cfRule>
    <cfRule type="expression" dxfId="10555" priority="20678">
      <formula>IF($B35="Quoting",TRUE,FALSE)</formula>
    </cfRule>
    <cfRule type="expression" dxfId="10554" priority="20679">
      <formula>IF($B35="Quoting",TRUE,FALSE)</formula>
    </cfRule>
    <cfRule type="expression" dxfId="10553" priority="20680">
      <formula>IF($B35="Quoting",TRUE,FALSE)</formula>
    </cfRule>
    <cfRule type="expression" dxfId="10552" priority="20681">
      <formula>IF($B35="Quoting",TRUE,FALSE)</formula>
    </cfRule>
    <cfRule type="expression" dxfId="10551" priority="20682">
      <formula>IF($B35="Quoting",TRUE,FALSE)</formula>
    </cfRule>
    <cfRule type="expression" dxfId="10550" priority="20683">
      <formula>IF($B35="Quoting",TRUE,FALSE)</formula>
    </cfRule>
    <cfRule type="expression" dxfId="10549" priority="20684">
      <formula>IF($B35="Quoting",TRUE,FALSE)</formula>
    </cfRule>
    <cfRule type="expression" dxfId="10548" priority="20685">
      <formula>IF($B35="Quoting",TRUE,FALSE)</formula>
    </cfRule>
    <cfRule type="expression" dxfId="10547" priority="20686">
      <formula>IF($B35="Quoting",TRUE,FALSE)</formula>
    </cfRule>
    <cfRule type="expression" dxfId="10546" priority="20687">
      <formula>IF($B35="Quoting",TRUE,FALSE)</formula>
    </cfRule>
    <cfRule type="expression" dxfId="10545" priority="20688">
      <formula>IF($B35="Quoting",TRUE,FALSE)</formula>
    </cfRule>
    <cfRule type="expression" dxfId="10544" priority="20689">
      <formula>IF($B35="Quoting",TRUE,FALSE)</formula>
    </cfRule>
    <cfRule type="expression" dxfId="10543" priority="20690">
      <formula>IF($B35="Quoting",TRUE,FALSE)</formula>
    </cfRule>
    <cfRule type="expression" dxfId="10542" priority="20691">
      <formula>IF($B35="Quoting",TRUE,FALSE)</formula>
    </cfRule>
    <cfRule type="expression" dxfId="10541" priority="20692">
      <formula>IF($B35="Quoting",TRUE,FALSE)</formula>
    </cfRule>
    <cfRule type="expression" dxfId="10540" priority="20693">
      <formula>IF($B35="Quoting",TRUE,FALSE)</formula>
    </cfRule>
    <cfRule type="expression" dxfId="10539" priority="20694">
      <formula>IF($B35="Quoting",TRUE,FALSE)</formula>
    </cfRule>
    <cfRule type="expression" dxfId="10538" priority="20695">
      <formula>IF($B35="Quoting",TRUE,FALSE)</formula>
    </cfRule>
    <cfRule type="expression" dxfId="10537" priority="20696">
      <formula>IF($B35="Quoting",TRUE,FALSE)</formula>
    </cfRule>
    <cfRule type="expression" dxfId="10536" priority="20697">
      <formula>IF($B35="Quoting",TRUE,FALSE)</formula>
    </cfRule>
    <cfRule type="expression" dxfId="10535" priority="20698">
      <formula>IF($B35="Quoting",TRUE,FALSE)</formula>
    </cfRule>
    <cfRule type="expression" dxfId="10534" priority="20699">
      <formula>IF($B35="Quoting",TRUE,FALSE)</formula>
    </cfRule>
    <cfRule type="expression" dxfId="10533" priority="20700">
      <formula>IF($B35="Quoting",TRUE,FALSE)</formula>
    </cfRule>
    <cfRule type="expression" dxfId="10532" priority="20701">
      <formula>IF($B35="Quoting",TRUE,FALSE)</formula>
    </cfRule>
    <cfRule type="expression" dxfId="10531" priority="20702">
      <formula>IF($B35="Quoting",TRUE,FALSE)</formula>
    </cfRule>
    <cfRule type="expression" dxfId="10530" priority="20703">
      <formula>IF($B35="Quoting",TRUE,FALSE)</formula>
    </cfRule>
    <cfRule type="expression" dxfId="10529" priority="20704">
      <formula>IF($B35="Quoting",TRUE,FALSE)</formula>
    </cfRule>
    <cfRule type="expression" dxfId="10528" priority="20705">
      <formula>IF($B35="Quoting",TRUE,FALSE)</formula>
    </cfRule>
    <cfRule type="expression" dxfId="10527" priority="20706">
      <formula>IF($B35="Quoting",TRUE,FALSE)</formula>
    </cfRule>
    <cfRule type="expression" dxfId="10526" priority="20707">
      <formula>IF($B35="Quoting",TRUE,FALSE)</formula>
    </cfRule>
    <cfRule type="expression" dxfId="10525" priority="20708">
      <formula>IF($B35="Quoting",TRUE,FALSE)</formula>
    </cfRule>
    <cfRule type="expression" dxfId="10524" priority="20709">
      <formula>IF($B35="Quoting",TRUE,FALSE)</formula>
    </cfRule>
    <cfRule type="expression" dxfId="10523" priority="20710">
      <formula>IF($B35="Quoting",TRUE,FALSE)</formula>
    </cfRule>
    <cfRule type="expression" dxfId="10522" priority="20711">
      <formula>IF($B35="Quoting",TRUE,FALSE)</formula>
    </cfRule>
    <cfRule type="expression" dxfId="10521" priority="20712">
      <formula>IF($B35="Quoting",TRUE,FALSE)</formula>
    </cfRule>
    <cfRule type="expression" dxfId="10520" priority="20713">
      <formula>IF($B35="Quoting",TRUE,FALSE)</formula>
    </cfRule>
    <cfRule type="expression" dxfId="10519" priority="20714">
      <formula>IF($B35="Quoting",TRUE,FALSE)</formula>
    </cfRule>
    <cfRule type="expression" dxfId="10518" priority="20715">
      <formula>IF($B35="Quoting",TRUE,FALSE)</formula>
    </cfRule>
    <cfRule type="expression" dxfId="10517" priority="20716">
      <formula>IF($B35="Quoting",TRUE,FALSE)</formula>
    </cfRule>
    <cfRule type="expression" dxfId="10516" priority="20717">
      <formula>IF($B35="Quoting",TRUE,FALSE)</formula>
    </cfRule>
    <cfRule type="expression" dxfId="10515" priority="20718">
      <formula>IF($B35="Quoting",TRUE,FALSE)</formula>
    </cfRule>
    <cfRule type="expression" dxfId="10514" priority="20719">
      <formula>IF($B35="Quoting",TRUE,FALSE)</formula>
    </cfRule>
    <cfRule type="expression" dxfId="10513" priority="20720">
      <formula>IF($B35="Quoting",TRUE,FALSE)</formula>
    </cfRule>
    <cfRule type="expression" dxfId="10512" priority="20721">
      <formula>IF($B35="Quoting",TRUE,FALSE)</formula>
    </cfRule>
    <cfRule type="expression" dxfId="10511" priority="20722">
      <formula>IF($B35="Quoting",TRUE,FALSE)</formula>
    </cfRule>
    <cfRule type="expression" dxfId="10510" priority="20723">
      <formula>IF($B35="Quoting",TRUE,FALSE)</formula>
    </cfRule>
    <cfRule type="expression" dxfId="10509" priority="20724">
      <formula>IF($B35="Quoting",TRUE,FALSE)</formula>
    </cfRule>
    <cfRule type="expression" dxfId="10508" priority="20725">
      <formula>IF($B35="Quoting",TRUE,FALSE)</formula>
    </cfRule>
    <cfRule type="expression" dxfId="10507" priority="20726">
      <formula>IF($B35="Quoting",TRUE,FALSE)</formula>
    </cfRule>
    <cfRule type="expression" dxfId="10506" priority="20727">
      <formula>IF($B35="Quoting",TRUE,FALSE)</formula>
    </cfRule>
    <cfRule type="expression" dxfId="10505" priority="20728">
      <formula>IF($B35="Quoting",TRUE,FALSE)</formula>
    </cfRule>
    <cfRule type="expression" dxfId="10504" priority="20729">
      <formula>IF($B35="Quoting",TRUE,FALSE)</formula>
    </cfRule>
    <cfRule type="expression" dxfId="10503" priority="20730">
      <formula>IF($B35="Quoting",TRUE,FALSE)</formula>
    </cfRule>
    <cfRule type="expression" dxfId="10502" priority="20731">
      <formula>IF($B35="Quoting",TRUE,FALSE)</formula>
    </cfRule>
    <cfRule type="expression" dxfId="10501" priority="20732">
      <formula>IF($B35="Quoting",TRUE,FALSE)</formula>
    </cfRule>
    <cfRule type="expression" dxfId="10500" priority="20733">
      <formula>IF($B35="Quoting",TRUE,FALSE)</formula>
    </cfRule>
    <cfRule type="expression" dxfId="10499" priority="20734">
      <formula>IF($B35="Quoting",TRUE,FALSE)</formula>
    </cfRule>
    <cfRule type="expression" dxfId="10498" priority="20735">
      <formula>IF($B35="Quoting",TRUE,FALSE)</formula>
    </cfRule>
    <cfRule type="expression" dxfId="10497" priority="20736">
      <formula>IF($B35="Quoting",TRUE,FALSE)</formula>
    </cfRule>
    <cfRule type="expression" dxfId="10496" priority="20737">
      <formula>IF($B35="Quoting",TRUE,FALSE)</formula>
    </cfRule>
    <cfRule type="expression" dxfId="10495" priority="20738">
      <formula>IF($B35="Quoting",TRUE,FALSE)</formula>
    </cfRule>
    <cfRule type="expression" dxfId="10494" priority="20739">
      <formula>IF($B35="Quoting",TRUE,FALSE)</formula>
    </cfRule>
    <cfRule type="expression" dxfId="10493" priority="20740">
      <formula>IF($B35="Quoting",TRUE,FALSE)</formula>
    </cfRule>
    <cfRule type="expression" dxfId="10492" priority="20741">
      <formula>IF($B35="Quoting",TRUE,FALSE)</formula>
    </cfRule>
    <cfRule type="expression" dxfId="10491" priority="20742">
      <formula>IF($B35="Quoting",TRUE,FALSE)</formula>
    </cfRule>
    <cfRule type="expression" dxfId="10490" priority="20743">
      <formula>IF($B35="Quoting",TRUE,FALSE)</formula>
    </cfRule>
    <cfRule type="expression" dxfId="10489" priority="20744">
      <formula>IF($B35="Quoting",TRUE,FALSE)</formula>
    </cfRule>
    <cfRule type="expression" dxfId="10488" priority="20745">
      <formula>IF($B35="Quoting",TRUE,FALSE)</formula>
    </cfRule>
    <cfRule type="expression" dxfId="10487" priority="20746">
      <formula>IF($B35="Quoting",TRUE,FALSE)</formula>
    </cfRule>
    <cfRule type="expression" dxfId="10486" priority="20747">
      <formula>IF($B35="Quoting",TRUE,FALSE)</formula>
    </cfRule>
    <cfRule type="expression" dxfId="10485" priority="20748">
      <formula>IF($B35="Quoting",TRUE,FALSE)</formula>
    </cfRule>
    <cfRule type="expression" dxfId="10484" priority="20749">
      <formula>IF($B35="Quoting",TRUE,FALSE)</formula>
    </cfRule>
    <cfRule type="expression" dxfId="10483" priority="20750">
      <formula>IF($B35="Quoting",TRUE,FALSE)</formula>
    </cfRule>
    <cfRule type="expression" dxfId="10482" priority="20751">
      <formula>IF($B35="Quoting",TRUE,FALSE)</formula>
    </cfRule>
    <cfRule type="expression" dxfId="10481" priority="20752">
      <formula>IF($B35="Quoting",TRUE,FALSE)</formula>
    </cfRule>
    <cfRule type="expression" dxfId="10480" priority="20753">
      <formula>IF($B35="Quoting",TRUE,FALSE)</formula>
    </cfRule>
    <cfRule type="expression" dxfId="10479" priority="20754">
      <formula>IF($B35="Quoting",TRUE,FALSE)</formula>
    </cfRule>
    <cfRule type="expression" dxfId="10478" priority="20755">
      <formula>IF($B35="Quoting",TRUE,FALSE)</formula>
    </cfRule>
    <cfRule type="expression" dxfId="10477" priority="20756">
      <formula>IF($B35="Quoting",TRUE,FALSE)</formula>
    </cfRule>
    <cfRule type="expression" dxfId="10476" priority="20757">
      <formula>IF($B35="Quoting",TRUE,FALSE)</formula>
    </cfRule>
    <cfRule type="expression" dxfId="10475" priority="20758">
      <formula>IF($B35="Quoting",TRUE,FALSE)</formula>
    </cfRule>
    <cfRule type="expression" dxfId="10474" priority="20759">
      <formula>IF($B35="Quoting",TRUE,FALSE)</formula>
    </cfRule>
    <cfRule type="expression" dxfId="10473" priority="20760">
      <formula>IF($B35="Quoting",TRUE,FALSE)</formula>
    </cfRule>
    <cfRule type="expression" dxfId="10472" priority="20761">
      <formula>IF($B35="Quoting",TRUE,FALSE)</formula>
    </cfRule>
    <cfRule type="expression" dxfId="10471" priority="20762">
      <formula>IF($B35="Quoting",TRUE,FALSE)</formula>
    </cfRule>
    <cfRule type="expression" dxfId="10470" priority="20763">
      <formula>IF($B35="Quoting",TRUE,FALSE)</formula>
    </cfRule>
    <cfRule type="expression" dxfId="10469" priority="20764">
      <formula>IF($B35="Quoting",TRUE,FALSE)</formula>
    </cfRule>
    <cfRule type="expression" dxfId="10468" priority="20765">
      <formula>IF($B35="Quoting",TRUE,FALSE)</formula>
    </cfRule>
    <cfRule type="expression" dxfId="10467" priority="20766">
      <formula>IF($B35="Quoting",TRUE,FALSE)</formula>
    </cfRule>
    <cfRule type="expression" dxfId="10466" priority="20767">
      <formula>IF($B35="Quoting",TRUE,FALSE)</formula>
    </cfRule>
    <cfRule type="expression" dxfId="10465" priority="20768">
      <formula>IF($B35="Quoting",TRUE,FALSE)</formula>
    </cfRule>
    <cfRule type="expression" dxfId="10464" priority="20769">
      <formula>IF($B35="Quoting",TRUE,FALSE)</formula>
    </cfRule>
    <cfRule type="expression" dxfId="10463" priority="20770">
      <formula>IF($B35="Quoting",TRUE,FALSE)</formula>
    </cfRule>
    <cfRule type="expression" dxfId="10462" priority="20771">
      <formula>IF($B35="Quoting",TRUE,FALSE)</formula>
    </cfRule>
    <cfRule type="expression" dxfId="10461" priority="20772">
      <formula>IF($B35="Quoting",TRUE,FALSE)</formula>
    </cfRule>
    <cfRule type="expression" dxfId="10460" priority="20773">
      <formula>IF($B35="Quoting",TRUE,FALSE)</formula>
    </cfRule>
    <cfRule type="expression" dxfId="10459" priority="20774">
      <formula>IF($B35="Quoting",TRUE,FALSE)</formula>
    </cfRule>
    <cfRule type="expression" dxfId="10458" priority="20775">
      <formula>IF($B35="Quoting",TRUE,FALSE)</formula>
    </cfRule>
    <cfRule type="expression" dxfId="10457" priority="20776">
      <formula>IF($B35="Quoting",TRUE,FALSE)</formula>
    </cfRule>
    <cfRule type="expression" dxfId="10456" priority="20777">
      <formula>IF($B35="Quoting",TRUE,FALSE)</formula>
    </cfRule>
    <cfRule type="expression" dxfId="10455" priority="20778">
      <formula>IF($B35="Quoting",TRUE,FALSE)</formula>
    </cfRule>
    <cfRule type="expression" dxfId="10454" priority="20779">
      <formula>IF($B35="Quoting",TRUE,FALSE)</formula>
    </cfRule>
    <cfRule type="expression" dxfId="10453" priority="20780">
      <formula>IF($B35="Quoting",TRUE,FALSE)</formula>
    </cfRule>
    <cfRule type="expression" dxfId="10452" priority="20781">
      <formula>IF($B35="Quoting",TRUE,FALSE)</formula>
    </cfRule>
    <cfRule type="expression" dxfId="10451" priority="20782">
      <formula>IF($B35="Quoting",TRUE,FALSE)</formula>
    </cfRule>
    <cfRule type="expression" dxfId="10450" priority="20783">
      <formula>IF($B35="Quoting",TRUE,FALSE)</formula>
    </cfRule>
    <cfRule type="expression" dxfId="10449" priority="20784">
      <formula>IF($B35="Quoting",TRUE,FALSE)</formula>
    </cfRule>
    <cfRule type="expression" dxfId="10448" priority="20785">
      <formula>IF($B35="Quoting",TRUE,FALSE)</formula>
    </cfRule>
    <cfRule type="expression" dxfId="10447" priority="20786">
      <formula>IF($B35="Quoting",TRUE,FALSE)</formula>
    </cfRule>
    <cfRule type="expression" dxfId="10446" priority="20787">
      <formula>IF($B35="Quoting",TRUE,FALSE)</formula>
    </cfRule>
    <cfRule type="expression" dxfId="10445" priority="20788">
      <formula>IF($B35="Quoting",TRUE,FALSE)</formula>
    </cfRule>
    <cfRule type="expression" dxfId="10444" priority="20789">
      <formula>IF($B35="Quoting",TRUE,FALSE)</formula>
    </cfRule>
    <cfRule type="expression" dxfId="10443" priority="20790">
      <formula>IF($B35="Quoting",TRUE,FALSE)</formula>
    </cfRule>
    <cfRule type="expression" dxfId="10442" priority="20791">
      <formula>IF($B35="Quoting",TRUE,FALSE)</formula>
    </cfRule>
    <cfRule type="expression" dxfId="10441" priority="20792">
      <formula>IF($B35="Quoting",TRUE,FALSE)</formula>
    </cfRule>
    <cfRule type="expression" dxfId="10440" priority="20793">
      <formula>IF($B35="Quoting",TRUE,FALSE)</formula>
    </cfRule>
    <cfRule type="expression" dxfId="10439" priority="20794">
      <formula>IF($B35="Quoting",TRUE,FALSE)</formula>
    </cfRule>
    <cfRule type="expression" dxfId="10438" priority="20795">
      <formula>IF($B35="Quoting",TRUE,FALSE)</formula>
    </cfRule>
    <cfRule type="expression" dxfId="10437" priority="20796">
      <formula>IF($B35="Quoting",TRUE,FALSE)</formula>
    </cfRule>
    <cfRule type="expression" dxfId="10436" priority="20797">
      <formula>IF($B35="Quoting",TRUE,FALSE)</formula>
    </cfRule>
    <cfRule type="expression" dxfId="10435" priority="20798">
      <formula>IF($B35="Quoting",TRUE,FALSE)</formula>
    </cfRule>
    <cfRule type="expression" dxfId="10434" priority="20799">
      <formula>IF($B35="Quoting",TRUE,FALSE)</formula>
    </cfRule>
    <cfRule type="expression" dxfId="10433" priority="20800">
      <formula>IF($B35="Quoting",TRUE,FALSE)</formula>
    </cfRule>
    <cfRule type="expression" dxfId="10432" priority="20801">
      <formula>IF($B35="Quoting",TRUE,FALSE)</formula>
    </cfRule>
    <cfRule type="expression" dxfId="10431" priority="20802">
      <formula>IF($B35="Quoting",TRUE,FALSE)</formula>
    </cfRule>
    <cfRule type="expression" dxfId="10430" priority="20803">
      <formula>IF($B35="Quoting",TRUE,FALSE)</formula>
    </cfRule>
    <cfRule type="expression" dxfId="10429" priority="20804">
      <formula>IF($B35="Quoting",TRUE,FALSE)</formula>
    </cfRule>
    <cfRule type="expression" dxfId="10428" priority="20805">
      <formula>IF($B35="Quoting",TRUE,FALSE)</formula>
    </cfRule>
    <cfRule type="expression" dxfId="10427" priority="20806">
      <formula>IF($B35="Quoting",TRUE,FALSE)</formula>
    </cfRule>
    <cfRule type="expression" dxfId="10426" priority="20807">
      <formula>IF($B35="Quoting",TRUE,FALSE)</formula>
    </cfRule>
    <cfRule type="expression" dxfId="10425" priority="20808">
      <formula>IF($B35="Quoting",TRUE,FALSE)</formula>
    </cfRule>
    <cfRule type="expression" dxfId="10424" priority="20809">
      <formula>IF($B35="Quoting",TRUE,FALSE)</formula>
    </cfRule>
    <cfRule type="expression" dxfId="10423" priority="20810">
      <formula>IF($B35="Quoting",TRUE,FALSE)</formula>
    </cfRule>
    <cfRule type="expression" dxfId="10422" priority="20811">
      <formula>IF($B35="Quoting",TRUE,FALSE)</formula>
    </cfRule>
    <cfRule type="expression" dxfId="10421" priority="20812">
      <formula>IF($B35="Quoting",TRUE,FALSE)</formula>
    </cfRule>
    <cfRule type="expression" dxfId="10420" priority="20813">
      <formula>IF($B35="Quoting",TRUE,FALSE)</formula>
    </cfRule>
    <cfRule type="expression" dxfId="10419" priority="20814">
      <formula>IF($B35="Quoting",TRUE,FALSE)</formula>
    </cfRule>
    <cfRule type="expression" dxfId="10418" priority="20815">
      <formula>IF($B35="Quoting",TRUE,FALSE)</formula>
    </cfRule>
    <cfRule type="expression" dxfId="10417" priority="20816">
      <formula>IF($B35="Quoting",TRUE,FALSE)</formula>
    </cfRule>
    <cfRule type="expression" dxfId="10416" priority="20817">
      <formula>IF($B35="Quoting",TRUE,FALSE)</formula>
    </cfRule>
    <cfRule type="expression" dxfId="10415" priority="20818">
      <formula>IF($B35="Quoting",TRUE,FALSE)</formula>
    </cfRule>
    <cfRule type="expression" dxfId="10414" priority="20819">
      <formula>IF($B35="Quoting",TRUE,FALSE)</formula>
    </cfRule>
    <cfRule type="expression" dxfId="10413" priority="20820">
      <formula>IF($B35="Quoting",TRUE,FALSE)</formula>
    </cfRule>
    <cfRule type="expression" dxfId="10412" priority="20821">
      <formula>IF($B35="Quoting",TRUE,FALSE)</formula>
    </cfRule>
    <cfRule type="expression" dxfId="10411" priority="20822">
      <formula>IF($B35="Quoting",TRUE,FALSE)</formula>
    </cfRule>
    <cfRule type="expression" dxfId="10410" priority="20823">
      <formula>IF($B35="Quoting",TRUE,FALSE)</formula>
    </cfRule>
    <cfRule type="expression" dxfId="10409" priority="20824">
      <formula>IF($B35="Quoting",TRUE,FALSE)</formula>
    </cfRule>
    <cfRule type="expression" dxfId="10408" priority="20825">
      <formula>IF($B35="Quoting",TRUE,FALSE)</formula>
    </cfRule>
    <cfRule type="expression" dxfId="10407" priority="20826">
      <formula>IF($B35="Quoting",TRUE,FALSE)</formula>
    </cfRule>
    <cfRule type="expression" dxfId="10406" priority="20827">
      <formula>IF($B35="Quoting",TRUE,FALSE)</formula>
    </cfRule>
    <cfRule type="expression" dxfId="10405" priority="20828">
      <formula>IF($B35="Quoting",TRUE,FALSE)</formula>
    </cfRule>
    <cfRule type="expression" dxfId="10404" priority="20829">
      <formula>IF($B35="Quoting",TRUE,FALSE)</formula>
    </cfRule>
    <cfRule type="expression" dxfId="10403" priority="20830">
      <formula>IF($B35="Quoting",TRUE,FALSE)</formula>
    </cfRule>
    <cfRule type="expression" dxfId="10402" priority="20831">
      <formula>IF($B35="Quoting",TRUE,FALSE)</formula>
    </cfRule>
    <cfRule type="expression" dxfId="10401" priority="20832">
      <formula>IF($B35="Quoting",TRUE,FALSE)</formula>
    </cfRule>
    <cfRule type="expression" dxfId="10400" priority="20833">
      <formula>IF($B35="Quoting",TRUE,FALSE)</formula>
    </cfRule>
    <cfRule type="expression" dxfId="10399" priority="20834">
      <formula>IF($B35="Quoting",TRUE,FALSE)</formula>
    </cfRule>
    <cfRule type="expression" dxfId="10398" priority="20835">
      <formula>IF($B35="Quoting",TRUE,FALSE)</formula>
    </cfRule>
    <cfRule type="expression" dxfId="10397" priority="20836">
      <formula>IF($B35="Quoting",TRUE,FALSE)</formula>
    </cfRule>
    <cfRule type="expression" dxfId="10396" priority="20837">
      <formula>IF($B35="Quoting",TRUE,FALSE)</formula>
    </cfRule>
    <cfRule type="expression" dxfId="10395" priority="20838">
      <formula>IF($B35="Quoting",TRUE,FALSE)</formula>
    </cfRule>
    <cfRule type="expression" dxfId="10394" priority="20839">
      <formula>IF($B35="Quoting",TRUE,FALSE)</formula>
    </cfRule>
    <cfRule type="expression" dxfId="10393" priority="20840">
      <formula>IF($B35="Quoting",TRUE,FALSE)</formula>
    </cfRule>
    <cfRule type="expression" dxfId="10392" priority="20841">
      <formula>IF($B35="Quoting",TRUE,FALSE)</formula>
    </cfRule>
    <cfRule type="expression" dxfId="10391" priority="20842">
      <formula>IF($B35="Quoting",TRUE,FALSE)</formula>
    </cfRule>
    <cfRule type="expression" dxfId="10390" priority="20843">
      <formula>IF($B35="Quoting",TRUE,FALSE)</formula>
    </cfRule>
    <cfRule type="expression" dxfId="10389" priority="20844">
      <formula>IF($B35="Quoting",TRUE,FALSE)</formula>
    </cfRule>
    <cfRule type="expression" dxfId="10388" priority="20845">
      <formula>IF($B35="Quoting",TRUE,FALSE)</formula>
    </cfRule>
    <cfRule type="expression" dxfId="10387" priority="20846">
      <formula>IF($B35="Quoting",TRUE,FALSE)</formula>
    </cfRule>
    <cfRule type="expression" dxfId="10386" priority="20847">
      <formula>IF($B35="Quoting",TRUE,FALSE)</formula>
    </cfRule>
    <cfRule type="expression" dxfId="10385" priority="20848">
      <formula>IF($B35="Quoting",TRUE,FALSE)</formula>
    </cfRule>
    <cfRule type="expression" dxfId="10384" priority="20849">
      <formula>IF($B35="Quoting",TRUE,FALSE)</formula>
    </cfRule>
    <cfRule type="expression" dxfId="10383" priority="20850">
      <formula>IF($B35="Quoting",TRUE,FALSE)</formula>
    </cfRule>
    <cfRule type="expression" dxfId="10382" priority="20851">
      <formula>IF($B35="Quoting",TRUE,FALSE)</formula>
    </cfRule>
    <cfRule type="expression" dxfId="10381" priority="20852">
      <formula>IF($B35="Quoting",TRUE,FALSE)</formula>
    </cfRule>
    <cfRule type="expression" dxfId="10380" priority="20853">
      <formula>IF($B35="Quoting",TRUE,FALSE)</formula>
    </cfRule>
    <cfRule type="expression" dxfId="10379" priority="20854">
      <formula>IF($B35="Quoting",TRUE,FALSE)</formula>
    </cfRule>
    <cfRule type="expression" dxfId="10378" priority="20855">
      <formula>IF($B35="Quoting",TRUE,FALSE)</formula>
    </cfRule>
    <cfRule type="expression" dxfId="10377" priority="20856">
      <formula>IF($B35="Quoting",TRUE,FALSE)</formula>
    </cfRule>
    <cfRule type="expression" dxfId="10376" priority="20857">
      <formula>IF($B35="Quoting",TRUE,FALSE)</formula>
    </cfRule>
    <cfRule type="expression" dxfId="10375" priority="20858">
      <formula>IF($B35="Quoting",TRUE,FALSE)</formula>
    </cfRule>
    <cfRule type="expression" dxfId="10374" priority="20859">
      <formula>IF($B35="Quoting",TRUE,FALSE)</formula>
    </cfRule>
    <cfRule type="expression" dxfId="10373" priority="20860">
      <formula>IF($B35="Quoting",TRUE,FALSE)</formula>
    </cfRule>
    <cfRule type="expression" dxfId="10372" priority="20861">
      <formula>IF($B35="Quoting",TRUE,FALSE)</formula>
    </cfRule>
    <cfRule type="expression" dxfId="10371" priority="20862">
      <formula>IF($B35="Quoting",TRUE,FALSE)</formula>
    </cfRule>
    <cfRule type="expression" dxfId="10370" priority="20863">
      <formula>IF($B35="Quoting",TRUE,FALSE)</formula>
    </cfRule>
    <cfRule type="expression" dxfId="10369" priority="20864">
      <formula>IF($B35="Quoting",TRUE,FALSE)</formula>
    </cfRule>
    <cfRule type="expression" dxfId="10368" priority="20865">
      <formula>IF($B35="Quoting",TRUE,FALSE)</formula>
    </cfRule>
    <cfRule type="expression" dxfId="10367" priority="20866">
      <formula>IF($B35="Quoting",TRUE,FALSE)</formula>
    </cfRule>
    <cfRule type="expression" dxfId="10366" priority="20867">
      <formula>IF($B35="Quoting",TRUE,FALSE)</formula>
    </cfRule>
    <cfRule type="expression" dxfId="10365" priority="20868">
      <formula>IF($B35="Quoting",TRUE,FALSE)</formula>
    </cfRule>
    <cfRule type="expression" dxfId="10364" priority="20869">
      <formula>IF($B35="Quoting",TRUE,FALSE)</formula>
    </cfRule>
    <cfRule type="expression" dxfId="10363" priority="20870">
      <formula>IF($B35="Quoting",TRUE,FALSE)</formula>
    </cfRule>
    <cfRule type="expression" dxfId="10362" priority="20871">
      <formula>IF($B35="Quoting",TRUE,FALSE)</formula>
    </cfRule>
    <cfRule type="expression" dxfId="10361" priority="20872">
      <formula>IF($B35="Quoting",TRUE,FALSE)</formula>
    </cfRule>
    <cfRule type="expression" dxfId="10360" priority="20873">
      <formula>IF($B35="Quoting",TRUE,FALSE)</formula>
    </cfRule>
    <cfRule type="expression" dxfId="10359" priority="20874">
      <formula>IF($B35="Quoting",TRUE,FALSE)</formula>
    </cfRule>
    <cfRule type="expression" dxfId="10358" priority="20875">
      <formula>IF($B35="Quoting",TRUE,FALSE)</formula>
    </cfRule>
    <cfRule type="expression" dxfId="10357" priority="20876">
      <formula>IF($B35="Quoting",TRUE,FALSE)</formula>
    </cfRule>
    <cfRule type="expression" dxfId="10356" priority="20877">
      <formula>IF($B35="Quoting",TRUE,FALSE)</formula>
    </cfRule>
    <cfRule type="expression" dxfId="10355" priority="20878">
      <formula>IF($B35="Quoting",TRUE,FALSE)</formula>
    </cfRule>
    <cfRule type="expression" dxfId="10354" priority="20879">
      <formula>IF($B35="Quoting",TRUE,FALSE)</formula>
    </cfRule>
    <cfRule type="expression" dxfId="10353" priority="20880">
      <formula>IF($B35="Quoting",TRUE,FALSE)</formula>
    </cfRule>
    <cfRule type="expression" dxfId="10352" priority="20881">
      <formula>IF($B35="Quoting",TRUE,FALSE)</formula>
    </cfRule>
    <cfRule type="expression" dxfId="10351" priority="20882">
      <formula>IF($B35="Quoting",TRUE,FALSE)</formula>
    </cfRule>
    <cfRule type="expression" dxfId="10350" priority="20883">
      <formula>IF($B35="Quoting",TRUE,FALSE)</formula>
    </cfRule>
    <cfRule type="expression" dxfId="10349" priority="20884">
      <formula>IF($B35="Quoting",TRUE,FALSE)</formula>
    </cfRule>
    <cfRule type="expression" dxfId="10348" priority="20885">
      <formula>IF($B35="Quoting",TRUE,FALSE)</formula>
    </cfRule>
    <cfRule type="expression" dxfId="10347" priority="20886">
      <formula>IF($B35="Quoting",TRUE,FALSE)</formula>
    </cfRule>
    <cfRule type="expression" dxfId="10346" priority="20887">
      <formula>IF($B35="Quoting",TRUE,FALSE)</formula>
    </cfRule>
    <cfRule type="expression" dxfId="10345" priority="20888">
      <formula>IF($B35="Quoting",TRUE,FALSE)</formula>
    </cfRule>
    <cfRule type="expression" dxfId="10344" priority="20889">
      <formula>IF($B35="Quoting",TRUE,FALSE)</formula>
    </cfRule>
    <cfRule type="expression" dxfId="10343" priority="20890">
      <formula>IF($B35="Quoting",TRUE,FALSE)</formula>
    </cfRule>
    <cfRule type="expression" dxfId="10342" priority="20891">
      <formula>IF($B35="Quoting",TRUE,FALSE)</formula>
    </cfRule>
    <cfRule type="expression" dxfId="10341" priority="20892">
      <formula>IF($B35="Quoting",TRUE,FALSE)</formula>
    </cfRule>
    <cfRule type="expression" dxfId="10340" priority="20893">
      <formula>IF($B35="Quoting",TRUE,FALSE)</formula>
    </cfRule>
    <cfRule type="expression" dxfId="10339" priority="20894">
      <formula>IF($B35="Quoting",TRUE,FALSE)</formula>
    </cfRule>
    <cfRule type="expression" dxfId="10338" priority="20895">
      <formula>IF($B35="Quoting",TRUE,FALSE)</formula>
    </cfRule>
    <cfRule type="expression" dxfId="10337" priority="20896">
      <formula>IF($B35="Quoting",TRUE,FALSE)</formula>
    </cfRule>
    <cfRule type="expression" dxfId="10336" priority="20897">
      <formula>IF($B35="Quoting",TRUE,FALSE)</formula>
    </cfRule>
    <cfRule type="expression" dxfId="10335" priority="20898">
      <formula>IF($B35="Quoting",TRUE,FALSE)</formula>
    </cfRule>
    <cfRule type="expression" dxfId="10334" priority="20899">
      <formula>IF($B35="Quoting",TRUE,FALSE)</formula>
    </cfRule>
    <cfRule type="expression" dxfId="10333" priority="20900">
      <formula>IF($B35="Quoting",TRUE,FALSE)</formula>
    </cfRule>
    <cfRule type="expression" dxfId="10332" priority="20901">
      <formula>IF($B35="Quoting",TRUE,FALSE)</formula>
    </cfRule>
    <cfRule type="expression" dxfId="10331" priority="20902">
      <formula>IF($B35="Quoting",TRUE,FALSE)</formula>
    </cfRule>
    <cfRule type="expression" dxfId="10330" priority="20903">
      <formula>IF($B35="Quoting",TRUE,FALSE)</formula>
    </cfRule>
    <cfRule type="expression" dxfId="10329" priority="20904">
      <formula>IF($B35="Quoting",TRUE,FALSE)</formula>
    </cfRule>
    <cfRule type="expression" dxfId="10328" priority="20905">
      <formula>IF($B35="Quoting",TRUE,FALSE)</formula>
    </cfRule>
    <cfRule type="expression" dxfId="10327" priority="20906">
      <formula>IF($B35="Quoting",TRUE,FALSE)</formula>
    </cfRule>
    <cfRule type="expression" dxfId="10326" priority="20907">
      <formula>IF($B35="Quoting",TRUE,FALSE)</formula>
    </cfRule>
    <cfRule type="expression" dxfId="10325" priority="20908">
      <formula>IF($B35="Quoting",TRUE,FALSE)</formula>
    </cfRule>
    <cfRule type="expression" dxfId="10324" priority="20909">
      <formula>IF($B35="Quoting",TRUE,FALSE)</formula>
    </cfRule>
    <cfRule type="expression" dxfId="10323" priority="20910">
      <formula>IF($B35="Quoting",TRUE,FALSE)</formula>
    </cfRule>
    <cfRule type="expression" dxfId="10322" priority="20911">
      <formula>IF($B35="Quoting",TRUE,FALSE)</formula>
    </cfRule>
    <cfRule type="expression" dxfId="10321" priority="20912">
      <formula>IF($B35="Quoting",TRUE,FALSE)</formula>
    </cfRule>
    <cfRule type="expression" dxfId="10320" priority="20913">
      <formula>IF($B35="Quoting",TRUE,FALSE)</formula>
    </cfRule>
    <cfRule type="expression" dxfId="10319" priority="20914">
      <formula>IF($B35="Quoting",TRUE,FALSE)</formula>
    </cfRule>
    <cfRule type="expression" dxfId="10318" priority="20915">
      <formula>IF($B35="Quoting",TRUE,FALSE)</formula>
    </cfRule>
    <cfRule type="expression" dxfId="10317" priority="20916">
      <formula>IF($B35="Quoting",TRUE,FALSE)</formula>
    </cfRule>
    <cfRule type="expression" dxfId="10316" priority="20917">
      <formula>IF($B35="Quoting",TRUE,FALSE)</formula>
    </cfRule>
    <cfRule type="expression" dxfId="10315" priority="20918">
      <formula>IF($B35="Quoting",TRUE,FALSE)</formula>
    </cfRule>
    <cfRule type="expression" dxfId="10314" priority="20919">
      <formula>IF($B35="Quoting",TRUE,FALSE)</formula>
    </cfRule>
    <cfRule type="expression" dxfId="10313" priority="20920">
      <formula>IF($B35="Quoting",TRUE,FALSE)</formula>
    </cfRule>
    <cfRule type="expression" dxfId="10312" priority="20921">
      <formula>IF($B35="Quoting",TRUE,FALSE)</formula>
    </cfRule>
    <cfRule type="expression" dxfId="10311" priority="20922">
      <formula>IF($B35="Quoting",TRUE,FALSE)</formula>
    </cfRule>
    <cfRule type="expression" dxfId="10310" priority="20923">
      <formula>IF($B35="Quoting",TRUE,FALSE)</formula>
    </cfRule>
    <cfRule type="expression" dxfId="10309" priority="20924">
      <formula>IF($B35="Quoting",TRUE,FALSE)</formula>
    </cfRule>
    <cfRule type="expression" dxfId="10308" priority="20925">
      <formula>IF($B35="Quoting",TRUE,FALSE)</formula>
    </cfRule>
    <cfRule type="expression" dxfId="10307" priority="20926">
      <formula>IF($B35="Quoting",TRUE,FALSE)</formula>
    </cfRule>
    <cfRule type="expression" dxfId="10306" priority="20927">
      <formula>IF($B35="Quoting",TRUE,FALSE)</formula>
    </cfRule>
    <cfRule type="expression" dxfId="10305" priority="20928">
      <formula>IF($B35="Quoting",TRUE,FALSE)</formula>
    </cfRule>
    <cfRule type="expression" dxfId="10304" priority="20929">
      <formula>IF($B35="Quoting",TRUE,FALSE)</formula>
    </cfRule>
    <cfRule type="expression" dxfId="10303" priority="20930">
      <formula>IF($B35="Quoting",TRUE,FALSE)</formula>
    </cfRule>
    <cfRule type="expression" dxfId="10302" priority="20931">
      <formula>IF($B35="Quoting",TRUE,FALSE)</formula>
    </cfRule>
    <cfRule type="expression" dxfId="10301" priority="20932">
      <formula>IF($B35="Quoting",TRUE,FALSE)</formula>
    </cfRule>
    <cfRule type="expression" dxfId="10300" priority="20933">
      <formula>IF($B35="Quoting",TRUE,FALSE)</formula>
    </cfRule>
    <cfRule type="expression" dxfId="10299" priority="20934">
      <formula>IF($B35="Quoting",TRUE,FALSE)</formula>
    </cfRule>
    <cfRule type="expression" dxfId="10298" priority="20935">
      <formula>IF($B35="Quoting",TRUE,FALSE)</formula>
    </cfRule>
    <cfRule type="expression" dxfId="10297" priority="20936">
      <formula>IF($B35="Quoting",TRUE,FALSE)</formula>
    </cfRule>
    <cfRule type="expression" dxfId="10296" priority="20937">
      <formula>IF($B35="Quoting",TRUE,FALSE)</formula>
    </cfRule>
    <cfRule type="expression" dxfId="10295" priority="20938">
      <formula>IF($B35="Quoting",TRUE,FALSE)</formula>
    </cfRule>
    <cfRule type="expression" dxfId="10294" priority="20939">
      <formula>IF($B35="Quoting",TRUE,FALSE)</formula>
    </cfRule>
    <cfRule type="expression" dxfId="10293" priority="20940">
      <formula>IF($B35="Quoting",TRUE,FALSE)</formula>
    </cfRule>
    <cfRule type="expression" dxfId="10292" priority="20941">
      <formula>IF($B35="Quoting",TRUE,FALSE)</formula>
    </cfRule>
    <cfRule type="expression" dxfId="10291" priority="20942">
      <formula>IF($B35="Quoting",TRUE,FALSE)</formula>
    </cfRule>
    <cfRule type="expression" dxfId="10290" priority="20943">
      <formula>IF($B35="Quoting",TRUE,FALSE)</formula>
    </cfRule>
    <cfRule type="expression" dxfId="10289" priority="20944">
      <formula>IF($B35="Quoting",TRUE,FALSE)</formula>
    </cfRule>
    <cfRule type="expression" dxfId="10288" priority="20945">
      <formula>IF($B35="Quoting",TRUE,FALSE)</formula>
    </cfRule>
    <cfRule type="expression" dxfId="10287" priority="20946">
      <formula>IF($B35="Quoting",TRUE,FALSE)</formula>
    </cfRule>
    <cfRule type="expression" dxfId="10286" priority="20947">
      <formula>IF($B35="Quoting",TRUE,FALSE)</formula>
    </cfRule>
    <cfRule type="expression" dxfId="10285" priority="20948">
      <formula>IF($B35="Quoting",TRUE,FALSE)</formula>
    </cfRule>
    <cfRule type="expression" dxfId="10284" priority="20949">
      <formula>IF($B35="Quoting",TRUE,FALSE)</formula>
    </cfRule>
    <cfRule type="expression" dxfId="10283" priority="20950">
      <formula>IF($B35="Quoting",TRUE,FALSE)</formula>
    </cfRule>
    <cfRule type="expression" dxfId="10282" priority="20951">
      <formula>IF($B35="Quoting",TRUE,FALSE)</formula>
    </cfRule>
    <cfRule type="expression" dxfId="10281" priority="20952">
      <formula>IF($B35="Quoting",TRUE,FALSE)</formula>
    </cfRule>
    <cfRule type="expression" dxfId="10280" priority="20953">
      <formula>IF($B35="Quoting",TRUE,FALSE)</formula>
    </cfRule>
    <cfRule type="expression" dxfId="10279" priority="20954">
      <formula>IF($B35="Quoting",TRUE,FALSE)</formula>
    </cfRule>
    <cfRule type="expression" dxfId="10278" priority="20955">
      <formula>IF($B35="Quoting",TRUE,FALSE)</formula>
    </cfRule>
    <cfRule type="expression" dxfId="10277" priority="20956">
      <formula>IF($B35="Quoting",TRUE,FALSE)</formula>
    </cfRule>
    <cfRule type="expression" dxfId="10276" priority="20957">
      <formula>IF($B35="Quoting",TRUE,FALSE)</formula>
    </cfRule>
    <cfRule type="expression" dxfId="10275" priority="20958">
      <formula>IF($B35="Quoting",TRUE,FALSE)</formula>
    </cfRule>
    <cfRule type="expression" dxfId="10274" priority="20959">
      <formula>IF($B35="Quoting",TRUE,FALSE)</formula>
    </cfRule>
    <cfRule type="expression" dxfId="10273" priority="20960">
      <formula>IF($B35="Quoting",TRUE,FALSE)</formula>
    </cfRule>
    <cfRule type="expression" dxfId="10272" priority="20961">
      <formula>IF($B35="Quoting",TRUE,FALSE)</formula>
    </cfRule>
    <cfRule type="expression" dxfId="10271" priority="20962">
      <formula>IF($B35="Quoting",TRUE,FALSE)</formula>
    </cfRule>
    <cfRule type="expression" dxfId="10270" priority="20963">
      <formula>IF($B35="Quoting",TRUE,FALSE)</formula>
    </cfRule>
    <cfRule type="expression" dxfId="10269" priority="20964">
      <formula>IF($B35="Quoting",TRUE,FALSE)</formula>
    </cfRule>
    <cfRule type="expression" dxfId="10268" priority="20965">
      <formula>IF($B35="Quoting",TRUE,FALSE)</formula>
    </cfRule>
    <cfRule type="expression" dxfId="10267" priority="20966">
      <formula>IF($B35="Quoting",TRUE,FALSE)</formula>
    </cfRule>
    <cfRule type="expression" dxfId="10266" priority="20967">
      <formula>IF($B35="Quoting",TRUE,FALSE)</formula>
    </cfRule>
    <cfRule type="expression" dxfId="10265" priority="20968">
      <formula>IF($B35="Quoting",TRUE,FALSE)</formula>
    </cfRule>
    <cfRule type="expression" dxfId="10264" priority="20969">
      <formula>IF($B35="Quoting",TRUE,FALSE)</formula>
    </cfRule>
    <cfRule type="expression" dxfId="10263" priority="20970">
      <formula>IF($B35="Quoting",TRUE,FALSE)</formula>
    </cfRule>
    <cfRule type="expression" dxfId="10262" priority="20971">
      <formula>IF($B35="Quoting",TRUE,FALSE)</formula>
    </cfRule>
    <cfRule type="expression" dxfId="10261" priority="20972">
      <formula>IF($B35="Quoting",TRUE,FALSE)</formula>
    </cfRule>
    <cfRule type="expression" dxfId="10260" priority="20973">
      <formula>IF($B35="Quoting",TRUE,FALSE)</formula>
    </cfRule>
    <cfRule type="expression" dxfId="10259" priority="20974">
      <formula>IF($B35="Quoting",TRUE,FALSE)</formula>
    </cfRule>
    <cfRule type="expression" dxfId="10258" priority="20975">
      <formula>IF($B35="Quoting",TRUE,FALSE)</formula>
    </cfRule>
    <cfRule type="expression" dxfId="10257" priority="20976">
      <formula>IF($B35="Quoting",TRUE,FALSE)</formula>
    </cfRule>
    <cfRule type="expression" dxfId="10256" priority="20977">
      <formula>IF($B35="Quoting",TRUE,FALSE)</formula>
    </cfRule>
    <cfRule type="expression" dxfId="10255" priority="20978">
      <formula>IF($B35="Quoting",TRUE,FALSE)</formula>
    </cfRule>
    <cfRule type="expression" dxfId="10254" priority="20979">
      <formula>IF($B35="Quoting",TRUE,FALSE)</formula>
    </cfRule>
    <cfRule type="expression" dxfId="10253" priority="20980">
      <formula>IF($B35="Quoting",TRUE,FALSE)</formula>
    </cfRule>
    <cfRule type="expression" dxfId="10252" priority="20981">
      <formula>IF($B35="Quoting",TRUE,FALSE)</formula>
    </cfRule>
    <cfRule type="expression" dxfId="10251" priority="20982">
      <formula>IF($B35="Quoting",TRUE,FALSE)</formula>
    </cfRule>
    <cfRule type="expression" dxfId="10250" priority="20983">
      <formula>IF($B35="Quoting",TRUE,FALSE)</formula>
    </cfRule>
    <cfRule type="expression" dxfId="10249" priority="20984">
      <formula>IF($B35="Quoting",TRUE,FALSE)</formula>
    </cfRule>
    <cfRule type="expression" dxfId="10248" priority="20985">
      <formula>IF($B35="Quoting",TRUE,FALSE)</formula>
    </cfRule>
    <cfRule type="expression" dxfId="10247" priority="20986">
      <formula>IF($B35="Quoting",TRUE,FALSE)</formula>
    </cfRule>
    <cfRule type="expression" dxfId="10246" priority="20987">
      <formula>IF($B35="Quoting",TRUE,FALSE)</formula>
    </cfRule>
    <cfRule type="expression" dxfId="10245" priority="20988">
      <formula>IF($B35="Quoting",TRUE,FALSE)</formula>
    </cfRule>
    <cfRule type="expression" dxfId="10244" priority="20989">
      <formula>IF($B35="Quoting",TRUE,FALSE)</formula>
    </cfRule>
    <cfRule type="expression" dxfId="10243" priority="20990">
      <formula>IF($B35="Quoting",TRUE,FALSE)</formula>
    </cfRule>
    <cfRule type="expression" dxfId="10242" priority="20991">
      <formula>IF($B35="Quoting",TRUE,FALSE)</formula>
    </cfRule>
    <cfRule type="expression" dxfId="10241" priority="20992">
      <formula>IF($B35="Quoting",TRUE,FALSE)</formula>
    </cfRule>
    <cfRule type="expression" dxfId="10240" priority="20993">
      <formula>IF($B35="Quoting",TRUE,FALSE)</formula>
    </cfRule>
    <cfRule type="expression" dxfId="10239" priority="20994">
      <formula>IF($B35="Quoting",TRUE,FALSE)</formula>
    </cfRule>
    <cfRule type="expression" dxfId="10238" priority="20995">
      <formula>IF($B35="Quoting",TRUE,FALSE)</formula>
    </cfRule>
    <cfRule type="expression" dxfId="10237" priority="20996">
      <formula>IF($B35="Quoting",TRUE,FALSE)</formula>
    </cfRule>
    <cfRule type="expression" dxfId="10236" priority="20997">
      <formula>IF($B35="Quoting",TRUE,FALSE)</formula>
    </cfRule>
    <cfRule type="expression" dxfId="10235" priority="20998">
      <formula>IF($B35="Quoting",TRUE,FALSE)</formula>
    </cfRule>
    <cfRule type="expression" dxfId="10234" priority="20999">
      <formula>IF($B35="Quoting",TRUE,FALSE)</formula>
    </cfRule>
    <cfRule type="expression" dxfId="10233" priority="21000">
      <formula>IF($B35="Quoting",TRUE,FALSE)</formula>
    </cfRule>
    <cfRule type="expression" dxfId="10232" priority="21001">
      <formula>IF($B35="Quoting",TRUE,FALSE)</formula>
    </cfRule>
    <cfRule type="expression" dxfId="10231" priority="21002">
      <formula>IF($B35="Quoting",TRUE,FALSE)</formula>
    </cfRule>
    <cfRule type="expression" dxfId="10230" priority="21003">
      <formula>IF($B35="Quoting",TRUE,FALSE)</formula>
    </cfRule>
    <cfRule type="expression" dxfId="10229" priority="21004">
      <formula>IF($B35="Quoting",TRUE,FALSE)</formula>
    </cfRule>
    <cfRule type="expression" dxfId="10228" priority="21005">
      <formula>IF($B35="Quoting",TRUE,FALSE)</formula>
    </cfRule>
    <cfRule type="expression" dxfId="10227" priority="21006">
      <formula>IF($B35="Quoting",TRUE,FALSE)</formula>
    </cfRule>
    <cfRule type="expression" dxfId="10226" priority="21007">
      <formula>IF($B35="Quoting",TRUE,FALSE)</formula>
    </cfRule>
    <cfRule type="expression" dxfId="10225" priority="21008">
      <formula>IF($B35="Quoting",TRUE,FALSE)</formula>
    </cfRule>
    <cfRule type="expression" dxfId="10224" priority="21009">
      <formula>IF($B35="Quoting",TRUE,FALSE)</formula>
    </cfRule>
    <cfRule type="expression" dxfId="10223" priority="21010">
      <formula>IF($B35="Quoting",TRUE,FALSE)</formula>
    </cfRule>
    <cfRule type="expression" dxfId="10222" priority="21011">
      <formula>IF($B35="Quoting",TRUE,FALSE)</formula>
    </cfRule>
    <cfRule type="expression" dxfId="10221" priority="21012">
      <formula>IF($B35="Quoting",TRUE,FALSE)</formula>
    </cfRule>
    <cfRule type="expression" dxfId="10220" priority="21013">
      <formula>IF($B35="Quoting",TRUE,FALSE)</formula>
    </cfRule>
    <cfRule type="expression" dxfId="10219" priority="21014">
      <formula>IF($B35="Quoting",TRUE,FALSE)</formula>
    </cfRule>
    <cfRule type="expression" dxfId="10218" priority="21015">
      <formula>IF($B35="Quoting",TRUE,FALSE)</formula>
    </cfRule>
    <cfRule type="expression" dxfId="10217" priority="21016">
      <formula>IF($B35="Quoting",TRUE,FALSE)</formula>
    </cfRule>
    <cfRule type="expression" dxfId="10216" priority="21017">
      <formula>IF($B35="Quoting",TRUE,FALSE)</formula>
    </cfRule>
    <cfRule type="expression" dxfId="10215" priority="21018">
      <formula>IF($B35="Quoting",TRUE,FALSE)</formula>
    </cfRule>
    <cfRule type="expression" dxfId="10214" priority="21019">
      <formula>IF($B35="Quoting",TRUE,FALSE)</formula>
    </cfRule>
    <cfRule type="expression" dxfId="10213" priority="21020">
      <formula>IF($B35="Quoting",TRUE,FALSE)</formula>
    </cfRule>
    <cfRule type="expression" dxfId="10212" priority="21021">
      <formula>IF($B35="Quoting",TRUE,FALSE)</formula>
    </cfRule>
    <cfRule type="expression" dxfId="10211" priority="21022">
      <formula>IF($B35="Quoting",TRUE,FALSE)</formula>
    </cfRule>
    <cfRule type="expression" dxfId="10210" priority="21023">
      <formula>IF($B35="Quoting",TRUE,FALSE)</formula>
    </cfRule>
    <cfRule type="expression" dxfId="10209" priority="21024">
      <formula>IF($B35="Quoting",TRUE,FALSE)</formula>
    </cfRule>
    <cfRule type="expression" dxfId="10208" priority="21025">
      <formula>IF($B35="Quoting",TRUE,FALSE)</formula>
    </cfRule>
    <cfRule type="expression" dxfId="10207" priority="21026">
      <formula>IF($B35="Quoting",TRUE,FALSE)</formula>
    </cfRule>
    <cfRule type="expression" dxfId="10206" priority="21027">
      <formula>IF($B35="Quoting",TRUE,FALSE)</formula>
    </cfRule>
    <cfRule type="expression" dxfId="10205" priority="21028">
      <formula>IF($B35="Quoting",TRUE,FALSE)</formula>
    </cfRule>
    <cfRule type="expression" dxfId="10204" priority="21029">
      <formula>IF($B35="Quoting",TRUE,FALSE)</formula>
    </cfRule>
    <cfRule type="expression" dxfId="10203" priority="21030">
      <formula>IF($B35="Quoting",TRUE,FALSE)</formula>
    </cfRule>
    <cfRule type="expression" dxfId="10202" priority="21031">
      <formula>IF($B35="Quoting",TRUE,FALSE)</formula>
    </cfRule>
    <cfRule type="expression" dxfId="10201" priority="21032">
      <formula>IF($B35="Quoting",TRUE,FALSE)</formula>
    </cfRule>
    <cfRule type="expression" dxfId="10200" priority="21033">
      <formula>IF($B35="Quoting",TRUE,FALSE)</formula>
    </cfRule>
    <cfRule type="expression" dxfId="10199" priority="21034">
      <formula>IF($B35="Quoting",TRUE,FALSE)</formula>
    </cfRule>
    <cfRule type="expression" dxfId="10198" priority="21035">
      <formula>IF($B35="Quoting",TRUE,FALSE)</formula>
    </cfRule>
    <cfRule type="expression" dxfId="10197" priority="21036">
      <formula>IF($B35="Quoting",TRUE,FALSE)</formula>
    </cfRule>
    <cfRule type="expression" dxfId="10196" priority="21037">
      <formula>IF($B35="Quoting",TRUE,FALSE)</formula>
    </cfRule>
    <cfRule type="expression" dxfId="10195" priority="21038">
      <formula>IF($B35="Quoting",TRUE,FALSE)</formula>
    </cfRule>
    <cfRule type="expression" dxfId="10194" priority="21039">
      <formula>IF($B35="Quoting",TRUE,FALSE)</formula>
    </cfRule>
    <cfRule type="expression" dxfId="10193" priority="21040">
      <formula>IF($B35="Quoting",TRUE,FALSE)</formula>
    </cfRule>
    <cfRule type="expression" dxfId="10192" priority="21041">
      <formula>IF($B35="Quoting",TRUE,FALSE)</formula>
    </cfRule>
    <cfRule type="expression" dxfId="10191" priority="21042">
      <formula>IF($B35="Quoting",TRUE,FALSE)</formula>
    </cfRule>
    <cfRule type="expression" dxfId="10190" priority="21043">
      <formula>IF($B35="Quoting",TRUE,FALSE)</formula>
    </cfRule>
    <cfRule type="expression" dxfId="10189" priority="21044">
      <formula>IF($B35="Quoting",TRUE,FALSE)</formula>
    </cfRule>
    <cfRule type="expression" dxfId="10188" priority="21045">
      <formula>IF($B35="Quoting",TRUE,FALSE)</formula>
    </cfRule>
    <cfRule type="expression" dxfId="10187" priority="21046">
      <formula>IF($B35="Quoting",TRUE,FALSE)</formula>
    </cfRule>
    <cfRule type="expression" dxfId="10186" priority="21047">
      <formula>IF($B35="Quoting",TRUE,FALSE)</formula>
    </cfRule>
    <cfRule type="expression" dxfId="10185" priority="21048">
      <formula>IF($B35="Quoting",TRUE,FALSE)</formula>
    </cfRule>
    <cfRule type="expression" dxfId="10184" priority="21049">
      <formula>IF($B35="Quoting",TRUE,FALSE)</formula>
    </cfRule>
    <cfRule type="expression" dxfId="10183" priority="21050">
      <formula>IF($B35="Quoting",TRUE,FALSE)</formula>
    </cfRule>
    <cfRule type="expression" dxfId="10182" priority="21051">
      <formula>IF($B35="Quoting",TRUE,FALSE)</formula>
    </cfRule>
    <cfRule type="expression" dxfId="10181" priority="21052">
      <formula>IF($B35="Quoting",TRUE,FALSE)</formula>
    </cfRule>
    <cfRule type="expression" dxfId="10180" priority="21053">
      <formula>IF($B35="Quoting",TRUE,FALSE)</formula>
    </cfRule>
    <cfRule type="expression" dxfId="10179" priority="21054">
      <formula>IF($B35="Quoting",TRUE,FALSE)</formula>
    </cfRule>
    <cfRule type="expression" dxfId="10178" priority="21055">
      <formula>IF($B35="Quoting",TRUE,FALSE)</formula>
    </cfRule>
    <cfRule type="expression" dxfId="10177" priority="21056">
      <formula>IF($B35="Quoting",TRUE,FALSE)</formula>
    </cfRule>
    <cfRule type="expression" dxfId="10176" priority="21057">
      <formula>IF($B35="Quoting",TRUE,FALSE)</formula>
    </cfRule>
    <cfRule type="expression" dxfId="10175" priority="21058">
      <formula>IF($B35="Quoting",TRUE,FALSE)</formula>
    </cfRule>
    <cfRule type="expression" dxfId="10174" priority="21059">
      <formula>IF($B35="Quoting",TRUE,FALSE)</formula>
    </cfRule>
    <cfRule type="expression" dxfId="10173" priority="21060">
      <formula>IF($B35="Quoting",TRUE,FALSE)</formula>
    </cfRule>
    <cfRule type="expression" dxfId="10172" priority="21061">
      <formula>IF($B35="Quoting",TRUE,FALSE)</formula>
    </cfRule>
    <cfRule type="expression" dxfId="10171" priority="21062">
      <formula>IF($B35="Quoting",TRUE,FALSE)</formula>
    </cfRule>
    <cfRule type="expression" dxfId="10170" priority="21063">
      <formula>IF($B35="Quoting",TRUE,FALSE)</formula>
    </cfRule>
    <cfRule type="expression" dxfId="10169" priority="21064">
      <formula>IF($B35="Quoting",TRUE,FALSE)</formula>
    </cfRule>
    <cfRule type="expression" dxfId="10168" priority="21065">
      <formula>IF($B35="Quoting",TRUE,FALSE)</formula>
    </cfRule>
    <cfRule type="expression" dxfId="10167" priority="21066">
      <formula>IF($B35="Quoting",TRUE,FALSE)</formula>
    </cfRule>
    <cfRule type="expression" dxfId="10166" priority="21067">
      <formula>IF($B35="Quoting",TRUE,FALSE)</formula>
    </cfRule>
    <cfRule type="expression" dxfId="10165" priority="21068">
      <formula>IF($B35="Quoting",TRUE,FALSE)</formula>
    </cfRule>
    <cfRule type="expression" dxfId="10164" priority="21069">
      <formula>IF($B35="Quoting",TRUE,FALSE)</formula>
    </cfRule>
    <cfRule type="expression" dxfId="10163" priority="21070">
      <formula>IF($B35="Quoting",TRUE,FALSE)</formula>
    </cfRule>
    <cfRule type="expression" dxfId="10162" priority="21071">
      <formula>IF($B35="Quoting",TRUE,FALSE)</formula>
    </cfRule>
    <cfRule type="expression" dxfId="10161" priority="21072">
      <formula>IF($B35="Quoting",TRUE,FALSE)</formula>
    </cfRule>
    <cfRule type="expression" dxfId="10160" priority="21073">
      <formula>IF($B35="Quoting",TRUE,FALSE)</formula>
    </cfRule>
    <cfRule type="expression" dxfId="10159" priority="21074">
      <formula>IF($B35="Quoting",TRUE,FALSE)</formula>
    </cfRule>
    <cfRule type="expression" dxfId="10158" priority="21075">
      <formula>IF($B35="Quoting",TRUE,FALSE)</formula>
    </cfRule>
    <cfRule type="expression" dxfId="10157" priority="21076">
      <formula>IF($B35="Quoting",TRUE,FALSE)</formula>
    </cfRule>
    <cfRule type="expression" dxfId="10156" priority="21077">
      <formula>IF($B35="Quoting",TRUE,FALSE)</formula>
    </cfRule>
    <cfRule type="expression" dxfId="10155" priority="21078">
      <formula>IF($B35="Quoting",TRUE,FALSE)</formula>
    </cfRule>
    <cfRule type="expression" dxfId="10154" priority="21079">
      <formula>IF($B35="Quoting",TRUE,FALSE)</formula>
    </cfRule>
    <cfRule type="expression" dxfId="10153" priority="21080">
      <formula>IF($B35="Quoting",TRUE,FALSE)</formula>
    </cfRule>
    <cfRule type="expression" dxfId="10152" priority="21081">
      <formula>IF($B35="Quoting",TRUE,FALSE)</formula>
    </cfRule>
    <cfRule type="expression" dxfId="10151" priority="21082">
      <formula>IF($B35="Quoting",TRUE,FALSE)</formula>
    </cfRule>
    <cfRule type="expression" dxfId="10150" priority="21083">
      <formula>IF($B35="Quoting",TRUE,FALSE)</formula>
    </cfRule>
    <cfRule type="expression" dxfId="10149" priority="21084">
      <formula>IF($B35="Quoting",TRUE,FALSE)</formula>
    </cfRule>
    <cfRule type="expression" dxfId="10148" priority="21085">
      <formula>IF($B35="Quoting",TRUE,FALSE)</formula>
    </cfRule>
    <cfRule type="expression" dxfId="10147" priority="21086">
      <formula>IF($B35="Quoting",TRUE,FALSE)</formula>
    </cfRule>
    <cfRule type="expression" dxfId="10146" priority="21087">
      <formula>IF($B35="Quoting",TRUE,FALSE)</formula>
    </cfRule>
    <cfRule type="expression" dxfId="10145" priority="21088">
      <formula>IF($B35="Quoting",TRUE,FALSE)</formula>
    </cfRule>
    <cfRule type="expression" dxfId="10144" priority="21089">
      <formula>IF($B35="Quoting",TRUE,FALSE)</formula>
    </cfRule>
    <cfRule type="expression" dxfId="10143" priority="21090">
      <formula>IF($B35="Quoting",TRUE,FALSE)</formula>
    </cfRule>
    <cfRule type="expression" dxfId="10142" priority="21091">
      <formula>IF($B35="Quoting",TRUE,FALSE)</formula>
    </cfRule>
    <cfRule type="expression" dxfId="10141" priority="21092">
      <formula>IF($B35="Quoting",TRUE,FALSE)</formula>
    </cfRule>
    <cfRule type="expression" dxfId="10140" priority="21093">
      <formula>IF($B35="Quoting",TRUE,FALSE)</formula>
    </cfRule>
    <cfRule type="expression" dxfId="10139" priority="21094">
      <formula>IF($B35="Quoting",TRUE,FALSE)</formula>
    </cfRule>
    <cfRule type="expression" dxfId="10138" priority="21095">
      <formula>IF($B35="Quoting",TRUE,FALSE)</formula>
    </cfRule>
    <cfRule type="expression" dxfId="10137" priority="21096">
      <formula>IF($B35="Quoting",TRUE,FALSE)</formula>
    </cfRule>
    <cfRule type="expression" dxfId="10136" priority="21097">
      <formula>IF($B35="Quoting",TRUE,FALSE)</formula>
    </cfRule>
    <cfRule type="expression" dxfId="10135" priority="21098">
      <formula>IF($B35="Quoting",TRUE,FALSE)</formula>
    </cfRule>
    <cfRule type="expression" dxfId="10134" priority="21099">
      <formula>IF($B35="Quoting",TRUE,FALSE)</formula>
    </cfRule>
    <cfRule type="expression" dxfId="10133" priority="21100">
      <formula>IF($B35="Quoting",TRUE,FALSE)</formula>
    </cfRule>
    <cfRule type="expression" dxfId="10132" priority="21101">
      <formula>IF($B35="Quoting",TRUE,FALSE)</formula>
    </cfRule>
    <cfRule type="expression" dxfId="10131" priority="21102">
      <formula>IF($B35="Quoting",TRUE,FALSE)</formula>
    </cfRule>
    <cfRule type="expression" dxfId="10130" priority="21103">
      <formula>IF($B35="Quoting",TRUE,FALSE)</formula>
    </cfRule>
    <cfRule type="expression" dxfId="10129" priority="21104">
      <formula>IF($B35="Quoting",TRUE,FALSE)</formula>
    </cfRule>
    <cfRule type="expression" dxfId="10128" priority="21105">
      <formula>IF($B35="Quoting",TRUE,FALSE)</formula>
    </cfRule>
    <cfRule type="expression" dxfId="10127" priority="21106">
      <formula>IF($B35="Quoting",TRUE,FALSE)</formula>
    </cfRule>
    <cfRule type="expression" dxfId="10126" priority="21107">
      <formula>IF($B35="Quoting",TRUE,FALSE)</formula>
    </cfRule>
    <cfRule type="expression" dxfId="10125" priority="21108">
      <formula>IF($B35="Quoting",TRUE,FALSE)</formula>
    </cfRule>
    <cfRule type="expression" dxfId="10124" priority="21109">
      <formula>IF($B35="Quoting",TRUE,FALSE)</formula>
    </cfRule>
    <cfRule type="expression" dxfId="10123" priority="21110">
      <formula>IF($B35="Quoting",TRUE,FALSE)</formula>
    </cfRule>
    <cfRule type="expression" dxfId="10122" priority="21111">
      <formula>IF($B35="Quoting",TRUE,FALSE)</formula>
    </cfRule>
    <cfRule type="expression" dxfId="10121" priority="21112">
      <formula>IF($B35="Quoting",TRUE,FALSE)</formula>
    </cfRule>
    <cfRule type="expression" dxfId="10120" priority="21113">
      <formula>IF($B35="Quoting",TRUE,FALSE)</formula>
    </cfRule>
    <cfRule type="expression" dxfId="10119" priority="21114">
      <formula>IF($B35="Quoting",TRUE,FALSE)</formula>
    </cfRule>
    <cfRule type="expression" dxfId="10118" priority="21115">
      <formula>IF($B35="Quoting",TRUE,FALSE)</formula>
    </cfRule>
    <cfRule type="expression" dxfId="10117" priority="21116">
      <formula>IF($B35="Quoting",TRUE,FALSE)</formula>
    </cfRule>
    <cfRule type="expression" dxfId="10116" priority="21117">
      <formula>IF($B35="Quoting",TRUE,FALSE)</formula>
    </cfRule>
    <cfRule type="expression" dxfId="10115" priority="21118">
      <formula>IF($B35="Quoting",TRUE,FALSE)</formula>
    </cfRule>
    <cfRule type="expression" dxfId="10114" priority="21119">
      <formula>IF($B35="Quoting",TRUE,FALSE)</formula>
    </cfRule>
    <cfRule type="expression" dxfId="10113" priority="21120">
      <formula>IF($B35="Quoting",TRUE,FALSE)</formula>
    </cfRule>
    <cfRule type="expression" dxfId="10112" priority="21121">
      <formula>IF($B35="Quoting",TRUE,FALSE)</formula>
    </cfRule>
    <cfRule type="expression" dxfId="10111" priority="21122">
      <formula>IF($B35="Quoting",TRUE,FALSE)</formula>
    </cfRule>
    <cfRule type="expression" dxfId="10110" priority="21123">
      <formula>IF($B35="Quoting",TRUE,FALSE)</formula>
    </cfRule>
    <cfRule type="expression" dxfId="10109" priority="21124">
      <formula>IF($B35="Quoting",TRUE,FALSE)</formula>
    </cfRule>
    <cfRule type="expression" dxfId="10108" priority="21125">
      <formula>IF($B35="Quoting",TRUE,FALSE)</formula>
    </cfRule>
    <cfRule type="expression" dxfId="10107" priority="21126">
      <formula>IF($B35="Quoting",TRUE,FALSE)</formula>
    </cfRule>
    <cfRule type="expression" dxfId="10106" priority="21127">
      <formula>IF($B35="Quoting",TRUE,FALSE)</formula>
    </cfRule>
    <cfRule type="expression" dxfId="10105" priority="21128">
      <formula>IF($B35="Quoting",TRUE,FALSE)</formula>
    </cfRule>
    <cfRule type="expression" dxfId="10104" priority="21129">
      <formula>IF($B35="Quoting",TRUE,FALSE)</formula>
    </cfRule>
    <cfRule type="expression" dxfId="10103" priority="21130">
      <formula>IF($B35="Quoting",TRUE,FALSE)</formula>
    </cfRule>
    <cfRule type="expression" dxfId="10102" priority="21131">
      <formula>IF($B35="Quoting",TRUE,FALSE)</formula>
    </cfRule>
    <cfRule type="expression" dxfId="10101" priority="21132">
      <formula>IF($B35="Quoting",TRUE,FALSE)</formula>
    </cfRule>
    <cfRule type="expression" dxfId="10100" priority="21133">
      <formula>IF($B35="Quoting",TRUE,FALSE)</formula>
    </cfRule>
    <cfRule type="expression" dxfId="10099" priority="21134">
      <formula>IF($B35="Quoting",TRUE,FALSE)</formula>
    </cfRule>
    <cfRule type="expression" dxfId="10098" priority="21135">
      <formula>IF($B35="Quoting",TRUE,FALSE)</formula>
    </cfRule>
    <cfRule type="expression" dxfId="10097" priority="21136">
      <formula>IF($B35="Quoting",TRUE,FALSE)</formula>
    </cfRule>
    <cfRule type="expression" dxfId="10096" priority="21137">
      <formula>IF($B35="Quoting",TRUE,FALSE)</formula>
    </cfRule>
    <cfRule type="expression" dxfId="10095" priority="21138">
      <formula>IF($B35="Quoting",TRUE,FALSE)</formula>
    </cfRule>
    <cfRule type="expression" dxfId="10094" priority="21139">
      <formula>IF($B35="Quoting",TRUE,FALSE)</formula>
    </cfRule>
    <cfRule type="expression" dxfId="10093" priority="21140">
      <formula>IF($B35="Quoting",TRUE,FALSE)</formula>
    </cfRule>
    <cfRule type="expression" dxfId="10092" priority="21141">
      <formula>IF($B35="Quoting",TRUE,FALSE)</formula>
    </cfRule>
    <cfRule type="expression" dxfId="10091" priority="21142">
      <formula>IF($B35="Quoting",TRUE,FALSE)</formula>
    </cfRule>
    <cfRule type="expression" dxfId="10090" priority="21143">
      <formula>IF($B35="Quoting",TRUE,FALSE)</formula>
    </cfRule>
    <cfRule type="expression" dxfId="10089" priority="21144">
      <formula>IF($B35="Quoting",TRUE,FALSE)</formula>
    </cfRule>
    <cfRule type="expression" dxfId="10088" priority="21145">
      <formula>IF($B35="Quoting",TRUE,FALSE)</formula>
    </cfRule>
    <cfRule type="expression" dxfId="10087" priority="21146">
      <formula>IF($B35="Quoting",TRUE,FALSE)</formula>
    </cfRule>
    <cfRule type="expression" dxfId="10086" priority="21147">
      <formula>IF($B35="Quoting",TRUE,FALSE)</formula>
    </cfRule>
    <cfRule type="expression" dxfId="10085" priority="21148">
      <formula>IF($B35="Quoting",TRUE,FALSE)</formula>
    </cfRule>
    <cfRule type="expression" dxfId="10084" priority="21149">
      <formula>IF($B35="Quoting",TRUE,FALSE)</formula>
    </cfRule>
    <cfRule type="expression" dxfId="10083" priority="21150">
      <formula>IF($B35="Quoting",TRUE,FALSE)</formula>
    </cfRule>
    <cfRule type="expression" dxfId="10082" priority="21151">
      <formula>IF($B35="Quoting",TRUE,FALSE)</formula>
    </cfRule>
    <cfRule type="expression" dxfId="10081" priority="21152">
      <formula>IF($B35="Quoting",TRUE,FALSE)</formula>
    </cfRule>
    <cfRule type="expression" dxfId="10080" priority="21153">
      <formula>IF($B35="Quoting",TRUE,FALSE)</formula>
    </cfRule>
    <cfRule type="expression" dxfId="10079" priority="21154">
      <formula>IF($B35="Quoting",TRUE,FALSE)</formula>
    </cfRule>
    <cfRule type="expression" dxfId="10078" priority="21155">
      <formula>IF($B35="Quoting",TRUE,FALSE)</formula>
    </cfRule>
    <cfRule type="expression" dxfId="10077" priority="21156">
      <formula>IF($B35="Quoting",TRUE,FALSE)</formula>
    </cfRule>
    <cfRule type="expression" dxfId="10076" priority="21157">
      <formula>IF($B35="Quoting",TRUE,FALSE)</formula>
    </cfRule>
    <cfRule type="expression" dxfId="10075" priority="21158">
      <formula>IF($B35="Quoting",TRUE,FALSE)</formula>
    </cfRule>
    <cfRule type="expression" dxfId="10074" priority="21159">
      <formula>IF($B35="Quoting",TRUE,FALSE)</formula>
    </cfRule>
    <cfRule type="expression" dxfId="10073" priority="21160">
      <formula>IF($B35="Quoting",TRUE,FALSE)</formula>
    </cfRule>
    <cfRule type="expression" dxfId="10072" priority="21161">
      <formula>IF($B35="Quoting",TRUE,FALSE)</formula>
    </cfRule>
    <cfRule type="expression" dxfId="10071" priority="21162">
      <formula>IF($B35="Quoting",TRUE,FALSE)</formula>
    </cfRule>
    <cfRule type="expression" dxfId="10070" priority="21163">
      <formula>IF($B35="Quoting",TRUE,FALSE)</formula>
    </cfRule>
    <cfRule type="expression" dxfId="10069" priority="21164">
      <formula>IF($B35="Quoting",TRUE,FALSE)</formula>
    </cfRule>
    <cfRule type="expression" dxfId="10068" priority="21165">
      <formula>IF($B35="Quoting",TRUE,FALSE)</formula>
    </cfRule>
    <cfRule type="expression" dxfId="10067" priority="21166">
      <formula>IF($B35="Quoting",TRUE,FALSE)</formula>
    </cfRule>
    <cfRule type="expression" dxfId="10066" priority="21167">
      <formula>IF($B35="Quoting",TRUE,FALSE)</formula>
    </cfRule>
    <cfRule type="expression" dxfId="10065" priority="21168">
      <formula>IF($B35="Quoting",TRUE,FALSE)</formula>
    </cfRule>
    <cfRule type="expression" dxfId="10064" priority="21169">
      <formula>IF($B35="Quoting",TRUE,FALSE)</formula>
    </cfRule>
    <cfRule type="expression" dxfId="10063" priority="21170">
      <formula>IF($B35="Quoting",TRUE,FALSE)</formula>
    </cfRule>
    <cfRule type="expression" dxfId="10062" priority="21171">
      <formula>IF($B35="Quoting",TRUE,FALSE)</formula>
    </cfRule>
    <cfRule type="expression" dxfId="10061" priority="21172">
      <formula>IF($B35="Quoting",TRUE,FALSE)</formula>
    </cfRule>
    <cfRule type="expression" dxfId="10060" priority="21173">
      <formula>IF($B35="Quoting",TRUE,FALSE)</formula>
    </cfRule>
    <cfRule type="expression" dxfId="10059" priority="21174">
      <formula>IF($B35="Quoting",TRUE,FALSE)</formula>
    </cfRule>
    <cfRule type="expression" dxfId="10058" priority="21175">
      <formula>IF($B35="Quoting",TRUE,FALSE)</formula>
    </cfRule>
    <cfRule type="expression" dxfId="10057" priority="21176">
      <formula>IF($B35="Quoting",TRUE,FALSE)</formula>
    </cfRule>
    <cfRule type="expression" dxfId="10056" priority="21177">
      <formula>IF($B35="Quoting",TRUE,FALSE)</formula>
    </cfRule>
    <cfRule type="expression" dxfId="10055" priority="21178">
      <formula>IF($B35="Quoting",TRUE,FALSE)</formula>
    </cfRule>
    <cfRule type="expression" dxfId="10054" priority="21179">
      <formula>IF($B35="Quoting",TRUE,FALSE)</formula>
    </cfRule>
    <cfRule type="expression" dxfId="10053" priority="21180">
      <formula>IF($B35="Quoting",TRUE,FALSE)</formula>
    </cfRule>
    <cfRule type="expression" dxfId="10052" priority="21181">
      <formula>IF($B35="Quoting",TRUE,FALSE)</formula>
    </cfRule>
    <cfRule type="expression" dxfId="10051" priority="21182">
      <formula>IF($B35="Quoting",TRUE,FALSE)</formula>
    </cfRule>
    <cfRule type="expression" dxfId="10050" priority="21183">
      <formula>IF($B35="Quoting",TRUE,FALSE)</formula>
    </cfRule>
    <cfRule type="expression" dxfId="10049" priority="21184">
      <formula>IF($B35="Quoting",TRUE,FALSE)</formula>
    </cfRule>
    <cfRule type="expression" dxfId="10048" priority="21185">
      <formula>IF($B35="Quoting",TRUE,FALSE)</formula>
    </cfRule>
    <cfRule type="expression" dxfId="10047" priority="21186">
      <formula>IF($B35="Quoting",TRUE,FALSE)</formula>
    </cfRule>
    <cfRule type="expression" dxfId="10046" priority="21187">
      <formula>IF($B35="Quoting",TRUE,FALSE)</formula>
    </cfRule>
    <cfRule type="expression" dxfId="10045" priority="21188">
      <formula>IF($B35="Quoting",TRUE,FALSE)</formula>
    </cfRule>
    <cfRule type="expression" dxfId="10044" priority="21189">
      <formula>IF($B35="Quoting",TRUE,FALSE)</formula>
    </cfRule>
    <cfRule type="expression" dxfId="10043" priority="21190">
      <formula>IF($B35="Quoting",TRUE,FALSE)</formula>
    </cfRule>
    <cfRule type="expression" dxfId="10042" priority="21191">
      <formula>IF($B35="Quoting",TRUE,FALSE)</formula>
    </cfRule>
    <cfRule type="expression" dxfId="10041" priority="21192">
      <formula>IF($B35="Quoting",TRUE,FALSE)</formula>
    </cfRule>
    <cfRule type="expression" dxfId="10040" priority="21193">
      <formula>IF($B35="Quoting",TRUE,FALSE)</formula>
    </cfRule>
    <cfRule type="expression" dxfId="10039" priority="21194">
      <formula>IF($B35="Quoting",TRUE,FALSE)</formula>
    </cfRule>
    <cfRule type="expression" dxfId="10038" priority="21195">
      <formula>IF($B35="Quoting",TRUE,FALSE)</formula>
    </cfRule>
    <cfRule type="expression" dxfId="10037" priority="21196">
      <formula>IF($B35="Quoting",TRUE,FALSE)</formula>
    </cfRule>
    <cfRule type="expression" dxfId="10036" priority="21197">
      <formula>IF($B35="Quoting",TRUE,FALSE)</formula>
    </cfRule>
    <cfRule type="expression" dxfId="10035" priority="21198">
      <formula>IF($B35="Quoting",TRUE,FALSE)</formula>
    </cfRule>
    <cfRule type="expression" dxfId="10034" priority="21199">
      <formula>IF($B35="Quoting",TRUE,FALSE)</formula>
    </cfRule>
    <cfRule type="expression" dxfId="10033" priority="21200">
      <formula>IF($B35="Quoting",TRUE,FALSE)</formula>
    </cfRule>
    <cfRule type="expression" dxfId="10032" priority="21201">
      <formula>IF($B35="Quoting",TRUE,FALSE)</formula>
    </cfRule>
    <cfRule type="expression" dxfId="10031" priority="21202">
      <formula>IF($B35="Quoting",TRUE,FALSE)</formula>
    </cfRule>
    <cfRule type="expression" dxfId="10030" priority="21203">
      <formula>IF($B35="Quoting",TRUE,FALSE)</formula>
    </cfRule>
    <cfRule type="expression" dxfId="10029" priority="21204">
      <formula>IF($B35="Quoting",TRUE,FALSE)</formula>
    </cfRule>
    <cfRule type="expression" dxfId="10028" priority="21205">
      <formula>IF($B35="Quoting",TRUE,FALSE)</formula>
    </cfRule>
    <cfRule type="expression" dxfId="10027" priority="21206">
      <formula>IF($B35="Quoting",TRUE,FALSE)</formula>
    </cfRule>
    <cfRule type="expression" dxfId="10026" priority="21207">
      <formula>IF($B35="Quoting",TRUE,FALSE)</formula>
    </cfRule>
    <cfRule type="expression" dxfId="10025" priority="21208">
      <formula>IF($B35="Quoting",TRUE,FALSE)</formula>
    </cfRule>
    <cfRule type="expression" dxfId="10024" priority="21209">
      <formula>IF($B35="Quoting",TRUE,FALSE)</formula>
    </cfRule>
    <cfRule type="expression" dxfId="10023" priority="21210">
      <formula>IF($B35="Quoting",TRUE,FALSE)</formula>
    </cfRule>
    <cfRule type="expression" dxfId="10022" priority="21211">
      <formula>IF($B35="Quoting",TRUE,FALSE)</formula>
    </cfRule>
    <cfRule type="expression" dxfId="10021" priority="21212">
      <formula>IF($B35="Quoting",TRUE,FALSE)</formula>
    </cfRule>
    <cfRule type="expression" dxfId="10020" priority="21213">
      <formula>IF($B35="Quoting",TRUE,FALSE)</formula>
    </cfRule>
    <cfRule type="expression" dxfId="10019" priority="21214">
      <formula>IF($B35="Quoting",TRUE,FALSE)</formula>
    </cfRule>
    <cfRule type="expression" dxfId="10018" priority="21215">
      <formula>IF($B35="Quoting",TRUE,FALSE)</formula>
    </cfRule>
    <cfRule type="expression" dxfId="10017" priority="21216">
      <formula>IF($B35="Quoting",TRUE,FALSE)</formula>
    </cfRule>
    <cfRule type="expression" dxfId="10016" priority="21217">
      <formula>IF($B35="Quoting",TRUE,FALSE)</formula>
    </cfRule>
    <cfRule type="expression" dxfId="10015" priority="21218">
      <formula>IF($B35="Quoting",TRUE,FALSE)</formula>
    </cfRule>
    <cfRule type="expression" dxfId="10014" priority="21219">
      <formula>IF($B35="Quoting",TRUE,FALSE)</formula>
    </cfRule>
    <cfRule type="expression" dxfId="10013" priority="21220">
      <formula>IF($B35="Quoting",TRUE,FALSE)</formula>
    </cfRule>
    <cfRule type="expression" dxfId="10012" priority="21221">
      <formula>IF($B35="Quoting",TRUE,FALSE)</formula>
    </cfRule>
    <cfRule type="expression" dxfId="10011" priority="21222">
      <formula>IF($B35="Quoting",TRUE,FALSE)</formula>
    </cfRule>
    <cfRule type="expression" dxfId="10010" priority="21223">
      <formula>IF($B35="Quoting",TRUE,FALSE)</formula>
    </cfRule>
    <cfRule type="expression" dxfId="10009" priority="21224">
      <formula>IF($B35="Quoting",TRUE,FALSE)</formula>
    </cfRule>
    <cfRule type="expression" dxfId="10008" priority="21225">
      <formula>IF($B35="Quoting",TRUE,FALSE)</formula>
    </cfRule>
    <cfRule type="expression" dxfId="10007" priority="21226">
      <formula>IF($B35="Quoting",TRUE,FALSE)</formula>
    </cfRule>
    <cfRule type="expression" dxfId="10006" priority="21227">
      <formula>IF($B35="Quoting",TRUE,FALSE)</formula>
    </cfRule>
    <cfRule type="expression" dxfId="10005" priority="21228">
      <formula>IF($B35="Quoting",TRUE,FALSE)</formula>
    </cfRule>
    <cfRule type="expression" dxfId="10004" priority="21229">
      <formula>IF($B35="Quoting",TRUE,FALSE)</formula>
    </cfRule>
    <cfRule type="expression" dxfId="10003" priority="21230">
      <formula>IF($B35="Quoting",TRUE,FALSE)</formula>
    </cfRule>
    <cfRule type="expression" dxfId="10002" priority="21231">
      <formula>IF($B35="Quoting",TRUE,FALSE)</formula>
    </cfRule>
    <cfRule type="expression" dxfId="10001" priority="21232">
      <formula>IF($B35="Quoting",TRUE,FALSE)</formula>
    </cfRule>
    <cfRule type="expression" dxfId="10000" priority="21233">
      <formula>IF($B35="Quoting",TRUE,FALSE)</formula>
    </cfRule>
    <cfRule type="expression" dxfId="9999" priority="21234">
      <formula>IF($B35="Quoting",TRUE,FALSE)</formula>
    </cfRule>
    <cfRule type="expression" dxfId="9998" priority="21235">
      <formula>IF($B35="Quoting",TRUE,FALSE)</formula>
    </cfRule>
    <cfRule type="expression" dxfId="9997" priority="21236">
      <formula>IF($B35="Quoting",TRUE,FALSE)</formula>
    </cfRule>
    <cfRule type="expression" dxfId="9996" priority="21237">
      <formula>IF($B35="Quoting",TRUE,FALSE)</formula>
    </cfRule>
    <cfRule type="expression" dxfId="9995" priority="21238">
      <formula>IF($B35="Quoting",TRUE,FALSE)</formula>
    </cfRule>
    <cfRule type="expression" dxfId="9994" priority="21239">
      <formula>IF($B35="Quoting",TRUE,FALSE)</formula>
    </cfRule>
    <cfRule type="expression" dxfId="9993" priority="21240">
      <formula>IF($B35="Quoting",TRUE,FALSE)</formula>
    </cfRule>
    <cfRule type="expression" dxfId="9992" priority="21241">
      <formula>IF($B35="Quoting",TRUE,FALSE)</formula>
    </cfRule>
    <cfRule type="expression" dxfId="9991" priority="21242">
      <formula>IF($B35="Quoting",TRUE,FALSE)</formula>
    </cfRule>
    <cfRule type="expression" dxfId="9990" priority="21243">
      <formula>IF($B35="Quoting",TRUE,FALSE)</formula>
    </cfRule>
    <cfRule type="expression" dxfId="9989" priority="21244">
      <formula>IF($B35="Quoting",TRUE,FALSE)</formula>
    </cfRule>
    <cfRule type="expression" dxfId="9988" priority="21245">
      <formula>IF($B35="Quoting",TRUE,FALSE)</formula>
    </cfRule>
    <cfRule type="expression" dxfId="9987" priority="21246">
      <formula>IF($B35="Quoting",TRUE,FALSE)</formula>
    </cfRule>
    <cfRule type="expression" dxfId="9986" priority="21247">
      <formula>IF($B35="Quoting",TRUE,FALSE)</formula>
    </cfRule>
    <cfRule type="expression" dxfId="9985" priority="21248">
      <formula>IF($B35="Quoting",TRUE,FALSE)</formula>
    </cfRule>
    <cfRule type="expression" dxfId="9984" priority="21249">
      <formula>IF($B35="Quoting",TRUE,FALSE)</formula>
    </cfRule>
    <cfRule type="expression" dxfId="9983" priority="21250">
      <formula>IF($B35="Quoting",TRUE,FALSE)</formula>
    </cfRule>
    <cfRule type="expression" dxfId="9982" priority="21251">
      <formula>IF($B35="Quoting",TRUE,FALSE)</formula>
    </cfRule>
    <cfRule type="expression" dxfId="9981" priority="21252">
      <formula>IF($B35="Quoting",TRUE,FALSE)</formula>
    </cfRule>
    <cfRule type="expression" dxfId="9980" priority="21253">
      <formula>IF($B35="Quoting",TRUE,FALSE)</formula>
    </cfRule>
    <cfRule type="expression" dxfId="9979" priority="21254">
      <formula>IF($B35="Quoting",TRUE,FALSE)</formula>
    </cfRule>
    <cfRule type="expression" dxfId="9978" priority="21255">
      <formula>IF($B35="Quoting",TRUE,FALSE)</formula>
    </cfRule>
    <cfRule type="expression" dxfId="9977" priority="21256">
      <formula>IF($B35="Quoting",TRUE,FALSE)</formula>
    </cfRule>
    <cfRule type="expression" dxfId="9976" priority="21257">
      <formula>IF($B35="Quoting",TRUE,FALSE)</formula>
    </cfRule>
    <cfRule type="expression" dxfId="9975" priority="21258">
      <formula>IF($B35="Quoting",TRUE,FALSE)</formula>
    </cfRule>
    <cfRule type="expression" dxfId="9974" priority="21259">
      <formula>IF($B35="Quoting",TRUE,FALSE)</formula>
    </cfRule>
    <cfRule type="expression" dxfId="9973" priority="21260">
      <formula>IF($B35="Quoting",TRUE,FALSE)</formula>
    </cfRule>
    <cfRule type="expression" dxfId="9972" priority="21261">
      <formula>IF($B35="Quoting",TRUE,FALSE)</formula>
    </cfRule>
    <cfRule type="expression" dxfId="9971" priority="21262">
      <formula>IF($B35="Quoting",TRUE,FALSE)</formula>
    </cfRule>
    <cfRule type="expression" dxfId="9970" priority="21263">
      <formula>IF($B35="Quoting",TRUE,FALSE)</formula>
    </cfRule>
    <cfRule type="expression" dxfId="9969" priority="21264">
      <formula>IF($B35="Quoting",TRUE,FALSE)</formula>
    </cfRule>
    <cfRule type="expression" dxfId="9968" priority="21265">
      <formula>IF($B35="Quoting",TRUE,FALSE)</formula>
    </cfRule>
    <cfRule type="expression" dxfId="9967" priority="21266">
      <formula>IF($B35="Quoting",TRUE,FALSE)</formula>
    </cfRule>
    <cfRule type="expression" dxfId="9966" priority="21267">
      <formula>IF($B35="Quoting",TRUE,FALSE)</formula>
    </cfRule>
    <cfRule type="expression" dxfId="9965" priority="21268">
      <formula>IF($B35="Quoting",TRUE,FALSE)</formula>
    </cfRule>
    <cfRule type="expression" dxfId="9964" priority="21269">
      <formula>IF($B35="Quoting",TRUE,FALSE)</formula>
    </cfRule>
    <cfRule type="expression" dxfId="9963" priority="21270">
      <formula>IF($B35="Quoting",TRUE,FALSE)</formula>
    </cfRule>
    <cfRule type="expression" dxfId="9962" priority="21271">
      <formula>IF($B35="Quoting",TRUE,FALSE)</formula>
    </cfRule>
    <cfRule type="expression" dxfId="9961" priority="21272">
      <formula>IF($B35="Quoting",TRUE,FALSE)</formula>
    </cfRule>
    <cfRule type="expression" dxfId="9960" priority="21273">
      <formula>IF($B35="Quoting",TRUE,FALSE)</formula>
    </cfRule>
    <cfRule type="expression" dxfId="9959" priority="21274">
      <formula>IF($B35="Quoting",TRUE,FALSE)</formula>
    </cfRule>
    <cfRule type="expression" dxfId="9958" priority="21275">
      <formula>IF($B35="Quoting",TRUE,FALSE)</formula>
    </cfRule>
    <cfRule type="expression" dxfId="9957" priority="21276">
      <formula>IF($B35="Quoting",TRUE,FALSE)</formula>
    </cfRule>
    <cfRule type="expression" dxfId="9956" priority="21277">
      <formula>IF($B35="Quoting",TRUE,FALSE)</formula>
    </cfRule>
    <cfRule type="expression" dxfId="9955" priority="21278">
      <formula>IF($B35="Quoting",TRUE,FALSE)</formula>
    </cfRule>
    <cfRule type="expression" dxfId="9954" priority="21279">
      <formula>IF($B35="Quoting",TRUE,FALSE)</formula>
    </cfRule>
    <cfRule type="expression" dxfId="9953" priority="21280">
      <formula>IF($B35="Quoting",TRUE,FALSE)</formula>
    </cfRule>
    <cfRule type="expression" dxfId="9952" priority="21281">
      <formula>IF($B35="Quoting",TRUE,FALSE)</formula>
    </cfRule>
    <cfRule type="expression" dxfId="9951" priority="21282">
      <formula>IF($B35="Quoting",TRUE,FALSE)</formula>
    </cfRule>
    <cfRule type="expression" dxfId="9950" priority="21283">
      <formula>IF($B35="Quoting",TRUE,FALSE)</formula>
    </cfRule>
    <cfRule type="expression" dxfId="9949" priority="21284">
      <formula>IF($B35="Quoting",TRUE,FALSE)</formula>
    </cfRule>
    <cfRule type="expression" dxfId="9948" priority="21285">
      <formula>IF($B35="Quoting",TRUE,FALSE)</formula>
    </cfRule>
    <cfRule type="expression" dxfId="9947" priority="21286">
      <formula>IF($B35="Quoting",TRUE,FALSE)</formula>
    </cfRule>
    <cfRule type="expression" dxfId="9946" priority="21287">
      <formula>IF($B35="Quoting",TRUE,FALSE)</formula>
    </cfRule>
    <cfRule type="expression" dxfId="9945" priority="21288">
      <formula>IF($B35="Quoting",TRUE,FALSE)</formula>
    </cfRule>
    <cfRule type="expression" dxfId="9944" priority="21289">
      <formula>IF($B35="Quoting",TRUE,FALSE)</formula>
    </cfRule>
    <cfRule type="expression" dxfId="9943" priority="21290">
      <formula>IF($B35="Quoting",TRUE,FALSE)</formula>
    </cfRule>
    <cfRule type="expression" dxfId="9942" priority="21291">
      <formula>IF($B35="Quoting",TRUE,FALSE)</formula>
    </cfRule>
    <cfRule type="expression" dxfId="9941" priority="21292">
      <formula>IF($B35="Quoting",TRUE,FALSE)</formula>
    </cfRule>
    <cfRule type="expression" dxfId="9940" priority="21293">
      <formula>IF($B35="Quoting",TRUE,FALSE)</formula>
    </cfRule>
    <cfRule type="expression" dxfId="9939" priority="21294">
      <formula>IF($B35="Quoting",TRUE,FALSE)</formula>
    </cfRule>
    <cfRule type="expression" dxfId="9938" priority="21295">
      <formula>IF($B35="Quoting",TRUE,FALSE)</formula>
    </cfRule>
    <cfRule type="expression" dxfId="9937" priority="21296">
      <formula>IF($B35="Quoting",TRUE,FALSE)</formula>
    </cfRule>
    <cfRule type="expression" dxfId="9936" priority="21297">
      <formula>IF($B35="Quoting",TRUE,FALSE)</formula>
    </cfRule>
    <cfRule type="expression" dxfId="9935" priority="21298">
      <formula>IF($B35="Quoting",TRUE,FALSE)</formula>
    </cfRule>
    <cfRule type="expression" dxfId="9934" priority="21299">
      <formula>IF($B35="Quoting",TRUE,FALSE)</formula>
    </cfRule>
    <cfRule type="expression" dxfId="9933" priority="21300">
      <formula>IF($B35="Quoting",TRUE,FALSE)</formula>
    </cfRule>
    <cfRule type="expression" dxfId="9932" priority="21301">
      <formula>IF($B35="Quoting",TRUE,FALSE)</formula>
    </cfRule>
    <cfRule type="expression" dxfId="9931" priority="21302">
      <formula>IF($B35="Quoting",TRUE,FALSE)</formula>
    </cfRule>
    <cfRule type="expression" dxfId="9930" priority="21303">
      <formula>IF($B35="Quoting",TRUE,FALSE)</formula>
    </cfRule>
    <cfRule type="expression" dxfId="9929" priority="21304">
      <formula>IF($B35="Quoting",TRUE,FALSE)</formula>
    </cfRule>
    <cfRule type="expression" dxfId="9928" priority="21305">
      <formula>IF($B35="Quoting",TRUE,FALSE)</formula>
    </cfRule>
    <cfRule type="expression" dxfId="9927" priority="21306">
      <formula>IF($B35="Quoting",TRUE,FALSE)</formula>
    </cfRule>
    <cfRule type="expression" dxfId="9926" priority="21307">
      <formula>IF($B35="Quoting",TRUE,FALSE)</formula>
    </cfRule>
    <cfRule type="expression" dxfId="9925" priority="21308">
      <formula>IF($B35="Quoting",TRUE,FALSE)</formula>
    </cfRule>
    <cfRule type="expression" dxfId="9924" priority="21309">
      <formula>IF($B35="Quoting",TRUE,FALSE)</formula>
    </cfRule>
    <cfRule type="expression" dxfId="9923" priority="21310">
      <formula>IF($B35="Quoting",TRUE,FALSE)</formula>
    </cfRule>
    <cfRule type="expression" dxfId="9922" priority="21311">
      <formula>IF($B35="Quoting",TRUE,FALSE)</formula>
    </cfRule>
    <cfRule type="expression" dxfId="9921" priority="21312">
      <formula>IF($B35="Quoting",TRUE,FALSE)</formula>
    </cfRule>
    <cfRule type="expression" dxfId="9920" priority="21313">
      <formula>IF($B35="Quoting",TRUE,FALSE)</formula>
    </cfRule>
    <cfRule type="expression" dxfId="9919" priority="21314">
      <formula>IF($B35="Quoting",TRUE,FALSE)</formula>
    </cfRule>
    <cfRule type="expression" dxfId="9918" priority="21315">
      <formula>IF($B35="Quoting",TRUE,FALSE)</formula>
    </cfRule>
    <cfRule type="expression" dxfId="9917" priority="21316">
      <formula>IF($B35="Quoting",TRUE,FALSE)</formula>
    </cfRule>
    <cfRule type="expression" dxfId="9916" priority="21317">
      <formula>IF($B35="Quoting",TRUE,FALSE)</formula>
    </cfRule>
    <cfRule type="expression" dxfId="9915" priority="21318">
      <formula>IF($B35="Quoting",TRUE,FALSE)</formula>
    </cfRule>
    <cfRule type="expression" dxfId="9914" priority="21319">
      <formula>IF($B35="Quoting",TRUE,FALSE)</formula>
    </cfRule>
    <cfRule type="expression" dxfId="9913" priority="21320">
      <formula>IF($B35="Quoting",TRUE,FALSE)</formula>
    </cfRule>
    <cfRule type="expression" dxfId="9912" priority="21321">
      <formula>IF($B35="Quoting",TRUE,FALSE)</formula>
    </cfRule>
    <cfRule type="expression" dxfId="9911" priority="21322">
      <formula>IF($B35="Quoting",TRUE,FALSE)</formula>
    </cfRule>
    <cfRule type="expression" dxfId="9910" priority="21323">
      <formula>IF($B35="Quoting",TRUE,FALSE)</formula>
    </cfRule>
    <cfRule type="expression" dxfId="9909" priority="21324">
      <formula>IF($B35="Quoting",TRUE,FALSE)</formula>
    </cfRule>
    <cfRule type="expression" dxfId="9908" priority="21325">
      <formula>IF($B35="Quoting",TRUE,FALSE)</formula>
    </cfRule>
    <cfRule type="expression" dxfId="9907" priority="21326">
      <formula>IF($B35="Quoting",TRUE,FALSE)</formula>
    </cfRule>
    <cfRule type="expression" dxfId="9906" priority="21327">
      <formula>IF($B35="Quoting",TRUE,FALSE)</formula>
    </cfRule>
    <cfRule type="expression" dxfId="9905" priority="21328">
      <formula>IF($B35="Quoting",TRUE,FALSE)</formula>
    </cfRule>
    <cfRule type="expression" dxfId="9904" priority="21329">
      <formula>IF($B35="Quoting",TRUE,FALSE)</formula>
    </cfRule>
    <cfRule type="expression" dxfId="9903" priority="21330">
      <formula>IF($B35="Quoting",TRUE,FALSE)</formula>
    </cfRule>
    <cfRule type="expression" dxfId="9902" priority="21331">
      <formula>IF($B35="Quoting",TRUE,FALSE)</formula>
    </cfRule>
    <cfRule type="expression" dxfId="9901" priority="21332">
      <formula>IF($B35="Quoting",TRUE,FALSE)</formula>
    </cfRule>
    <cfRule type="expression" dxfId="9900" priority="21333">
      <formula>IF($B35="Quoting",TRUE,FALSE)</formula>
    </cfRule>
    <cfRule type="expression" dxfId="9899" priority="21334">
      <formula>IF($B35="Quoting",TRUE,FALSE)</formula>
    </cfRule>
    <cfRule type="expression" dxfId="9898" priority="21335">
      <formula>IF($B35="Quoting",TRUE,FALSE)</formula>
    </cfRule>
    <cfRule type="expression" dxfId="9897" priority="21336">
      <formula>IF($B35="Quoting",TRUE,FALSE)</formula>
    </cfRule>
    <cfRule type="expression" dxfId="9896" priority="21337">
      <formula>IF($B35="Quoting",TRUE,FALSE)</formula>
    </cfRule>
    <cfRule type="expression" dxfId="9895" priority="21338">
      <formula>IF($B35="Quoting",TRUE,FALSE)</formula>
    </cfRule>
    <cfRule type="expression" dxfId="9894" priority="21339">
      <formula>IF($B35="Quoting",TRUE,FALSE)</formula>
    </cfRule>
    <cfRule type="expression" dxfId="9893" priority="21340">
      <formula>IF($B35="Quoting",TRUE,FALSE)</formula>
    </cfRule>
    <cfRule type="expression" dxfId="9892" priority="21341">
      <formula>IF($B35="Quoting",TRUE,FALSE)</formula>
    </cfRule>
    <cfRule type="expression" dxfId="9891" priority="21342">
      <formula>IF($B35="Quoting",TRUE,FALSE)</formula>
    </cfRule>
    <cfRule type="expression" dxfId="9890" priority="21343">
      <formula>IF($B35="Quoting",TRUE,FALSE)</formula>
    </cfRule>
    <cfRule type="expression" dxfId="9889" priority="21344">
      <formula>IF($B35="Quoting",TRUE,FALSE)</formula>
    </cfRule>
    <cfRule type="expression" dxfId="9888" priority="21345">
      <formula>IF($B35="Quoting",TRUE,FALSE)</formula>
    </cfRule>
    <cfRule type="expression" dxfId="9887" priority="21346">
      <formula>IF($B35="Quoting",TRUE,FALSE)</formula>
    </cfRule>
    <cfRule type="expression" dxfId="9886" priority="21347">
      <formula>IF($B35="Quoting",TRUE,FALSE)</formula>
    </cfRule>
    <cfRule type="expression" dxfId="9885" priority="21348">
      <formula>IF($B35="Quoting",TRUE,FALSE)</formula>
    </cfRule>
    <cfRule type="expression" dxfId="9884" priority="21349">
      <formula>IF($B35="Quoting",TRUE,FALSE)</formula>
    </cfRule>
    <cfRule type="expression" dxfId="9883" priority="21350">
      <formula>IF($B35="Quoting",TRUE,FALSE)</formula>
    </cfRule>
    <cfRule type="expression" dxfId="9882" priority="21351">
      <formula>IF($B35="Quoting",TRUE,FALSE)</formula>
    </cfRule>
    <cfRule type="expression" dxfId="9881" priority="21352">
      <formula>IF($B35="Quoting",TRUE,FALSE)</formula>
    </cfRule>
    <cfRule type="expression" dxfId="9880" priority="21353">
      <formula>IF($B35="Quoting",TRUE,FALSE)</formula>
    </cfRule>
    <cfRule type="expression" dxfId="9879" priority="21354">
      <formula>IF($B35="Quoting",TRUE,FALSE)</formula>
    </cfRule>
    <cfRule type="expression" dxfId="9878" priority="21355">
      <formula>IF($B35="Quoting",TRUE,FALSE)</formula>
    </cfRule>
    <cfRule type="expression" dxfId="9877" priority="21356">
      <formula>IF($B35="Quoting",TRUE,FALSE)</formula>
    </cfRule>
    <cfRule type="expression" dxfId="9876" priority="21357">
      <formula>IF($B35="Quoting",TRUE,FALSE)</formula>
    </cfRule>
    <cfRule type="expression" dxfId="9875" priority="21358">
      <formula>IF($B35="Quoting",TRUE,FALSE)</formula>
    </cfRule>
    <cfRule type="expression" dxfId="9874" priority="21359">
      <formula>IF($B35="Quoting",TRUE,FALSE)</formula>
    </cfRule>
    <cfRule type="expression" dxfId="9873" priority="21360">
      <formula>IF($B35="Quoting",TRUE,FALSE)</formula>
    </cfRule>
    <cfRule type="expression" dxfId="9872" priority="21361">
      <formula>IF($B35="Quoting",TRUE,FALSE)</formula>
    </cfRule>
    <cfRule type="expression" dxfId="9871" priority="21362">
      <formula>IF($B35="Quoting",TRUE,FALSE)</formula>
    </cfRule>
    <cfRule type="expression" dxfId="9870" priority="21363">
      <formula>IF($B35="Quoting",TRUE,FALSE)</formula>
    </cfRule>
    <cfRule type="expression" dxfId="9869" priority="21364">
      <formula>IF($B35="Quoting",TRUE,FALSE)</formula>
    </cfRule>
    <cfRule type="expression" dxfId="9868" priority="21365">
      <formula>IF($B35="Quoting",TRUE,FALSE)</formula>
    </cfRule>
    <cfRule type="expression" dxfId="9867" priority="21366">
      <formula>IF($B35="Quoting",TRUE,FALSE)</formula>
    </cfRule>
    <cfRule type="expression" dxfId="9866" priority="21367">
      <formula>IF($B35="Quoting",TRUE,FALSE)</formula>
    </cfRule>
    <cfRule type="expression" dxfId="9865" priority="21368">
      <formula>IF($B35="Quoting",TRUE,FALSE)</formula>
    </cfRule>
    <cfRule type="expression" dxfId="9864" priority="21369">
      <formula>IF($B35="Quoting",TRUE,FALSE)</formula>
    </cfRule>
    <cfRule type="expression" dxfId="9863" priority="21370">
      <formula>IF($B35="Quoting",TRUE,FALSE)</formula>
    </cfRule>
    <cfRule type="expression" dxfId="9862" priority="21371">
      <formula>IF($B35="Quoting",TRUE,FALSE)</formula>
    </cfRule>
    <cfRule type="expression" dxfId="9861" priority="21372">
      <formula>IF($B35="Quoting",TRUE,FALSE)</formula>
    </cfRule>
    <cfRule type="expression" dxfId="9860" priority="21373">
      <formula>IF($B35="Quoting",TRUE,FALSE)</formula>
    </cfRule>
    <cfRule type="expression" dxfId="9859" priority="21374">
      <formula>IF($B35="Quoting",TRUE,FALSE)</formula>
    </cfRule>
    <cfRule type="expression" dxfId="9858" priority="21375">
      <formula>IF($B35="Quoting",TRUE,FALSE)</formula>
    </cfRule>
    <cfRule type="expression" dxfId="9857" priority="21376">
      <formula>IF($B35="Quoting",TRUE,FALSE)</formula>
    </cfRule>
    <cfRule type="expression" dxfId="9856" priority="21377">
      <formula>IF($B35="Quoting",TRUE,FALSE)</formula>
    </cfRule>
    <cfRule type="expression" dxfId="9855" priority="21378">
      <formula>IF($B35="Quoting",TRUE,FALSE)</formula>
    </cfRule>
    <cfRule type="expression" dxfId="9854" priority="21379">
      <formula>IF($B35="Quoting",TRUE,FALSE)</formula>
    </cfRule>
    <cfRule type="expression" dxfId="9853" priority="21380">
      <formula>IF($B35="Quoting",TRUE,FALSE)</formula>
    </cfRule>
    <cfRule type="expression" dxfId="9852" priority="21381">
      <formula>IF($B35="Quoting",TRUE,FALSE)</formula>
    </cfRule>
    <cfRule type="expression" dxfId="9851" priority="21382">
      <formula>IF($B35="Quoting",TRUE,FALSE)</formula>
    </cfRule>
    <cfRule type="expression" dxfId="9850" priority="21383">
      <formula>IF($B35="Quoting",TRUE,FALSE)</formula>
    </cfRule>
    <cfRule type="expression" dxfId="9849" priority="21384">
      <formula>IF($B35="Quoting",TRUE,FALSE)</formula>
    </cfRule>
    <cfRule type="expression" dxfId="9848" priority="21385">
      <formula>IF($B35="Quoting",TRUE,FALSE)</formula>
    </cfRule>
    <cfRule type="expression" dxfId="9847" priority="21386">
      <formula>IF($B35="Quoting",TRUE,FALSE)</formula>
    </cfRule>
    <cfRule type="expression" dxfId="9846" priority="21387">
      <formula>IF($B35="Quoting",TRUE,FALSE)</formula>
    </cfRule>
    <cfRule type="expression" dxfId="9845" priority="21388">
      <formula>IF($B35="Quoting",TRUE,FALSE)</formula>
    </cfRule>
    <cfRule type="expression" dxfId="9844" priority="21389">
      <formula>IF($B35="Quoting",TRUE,FALSE)</formula>
    </cfRule>
    <cfRule type="expression" dxfId="9843" priority="21390">
      <formula>IF($B35="Quoting",TRUE,FALSE)</formula>
    </cfRule>
    <cfRule type="expression" dxfId="9842" priority="21391">
      <formula>IF($B35="Quoting",TRUE,FALSE)</formula>
    </cfRule>
    <cfRule type="expression" dxfId="9841" priority="21392">
      <formula>IF($B35="Quoting",TRUE,FALSE)</formula>
    </cfRule>
    <cfRule type="expression" dxfId="9840" priority="21393">
      <formula>IF($B35="Quoting",TRUE,FALSE)</formula>
    </cfRule>
    <cfRule type="expression" dxfId="9839" priority="21394">
      <formula>IF($B35="Quoting",TRUE,FALSE)</formula>
    </cfRule>
    <cfRule type="expression" dxfId="9838" priority="21395">
      <formula>IF($B35="Quoting",TRUE,FALSE)</formula>
    </cfRule>
    <cfRule type="expression" dxfId="9837" priority="21396">
      <formula>IF($B35="Quoting",TRUE,FALSE)</formula>
    </cfRule>
    <cfRule type="expression" dxfId="9836" priority="21397">
      <formula>IF($B35="Quoting",TRUE,FALSE)</formula>
    </cfRule>
    <cfRule type="expression" dxfId="9835" priority="21398">
      <formula>IF($B35="Quoting",TRUE,FALSE)</formula>
    </cfRule>
    <cfRule type="expression" dxfId="9834" priority="21399">
      <formula>IF($B35="Quoting",TRUE,FALSE)</formula>
    </cfRule>
    <cfRule type="expression" dxfId="9833" priority="21400">
      <formula>IF($B35="Quoting",TRUE,FALSE)</formula>
    </cfRule>
    <cfRule type="expression" dxfId="9832" priority="21401">
      <formula>IF($B35="Quoting",TRUE,FALSE)</formula>
    </cfRule>
    <cfRule type="expression" dxfId="9831" priority="21402">
      <formula>IF($B35="Quoting",TRUE,FALSE)</formula>
    </cfRule>
    <cfRule type="expression" dxfId="9830" priority="21403">
      <formula>IF($B35="Quoting",TRUE,FALSE)</formula>
    </cfRule>
    <cfRule type="expression" dxfId="9829" priority="21404">
      <formula>IF($B35="Quoting",TRUE,FALSE)</formula>
    </cfRule>
    <cfRule type="expression" dxfId="9828" priority="21405">
      <formula>IF($B35="Quoting",TRUE,FALSE)</formula>
    </cfRule>
    <cfRule type="expression" dxfId="9827" priority="21406">
      <formula>IF($B35="Quoting",TRUE,FALSE)</formula>
    </cfRule>
    <cfRule type="expression" dxfId="9826" priority="21407">
      <formula>IF($B35="Quoting",TRUE,FALSE)</formula>
    </cfRule>
    <cfRule type="expression" dxfId="9825" priority="21408">
      <formula>IF($B35="Quoting",TRUE,FALSE)</formula>
    </cfRule>
    <cfRule type="expression" dxfId="9824" priority="21409">
      <formula>IF($B35="Quoting",TRUE,FALSE)</formula>
    </cfRule>
    <cfRule type="expression" dxfId="9823" priority="21410">
      <formula>IF($B35="Quoting",TRUE,FALSE)</formula>
    </cfRule>
    <cfRule type="expression" dxfId="9822" priority="21411">
      <formula>IF($B35="Quoting",TRUE,FALSE)</formula>
    </cfRule>
    <cfRule type="expression" dxfId="9821" priority="21412">
      <formula>IF($B35="Quoting",TRUE,FALSE)</formula>
    </cfRule>
    <cfRule type="expression" dxfId="9820" priority="21413">
      <formula>IF($B35="Quoting",TRUE,FALSE)</formula>
    </cfRule>
    <cfRule type="expression" dxfId="9819" priority="21414">
      <formula>IF($B35="Quoting",TRUE,FALSE)</formula>
    </cfRule>
    <cfRule type="expression" dxfId="9818" priority="21415">
      <formula>IF($B35="Quoting",TRUE,FALSE)</formula>
    </cfRule>
    <cfRule type="expression" dxfId="9817" priority="21416">
      <formula>IF($B35="Quoting",TRUE,FALSE)</formula>
    </cfRule>
    <cfRule type="expression" dxfId="9816" priority="21417">
      <formula>IF($B35="Quoting",TRUE,FALSE)</formula>
    </cfRule>
    <cfRule type="expression" dxfId="9815" priority="21418">
      <formula>IF($B35="Quoting",TRUE,FALSE)</formula>
    </cfRule>
    <cfRule type="expression" dxfId="9814" priority="21419">
      <formula>IF($B35="Quoting",TRUE,FALSE)</formula>
    </cfRule>
    <cfRule type="expression" dxfId="9813" priority="21420">
      <formula>IF($B35="Quoting",TRUE,FALSE)</formula>
    </cfRule>
    <cfRule type="expression" dxfId="9812" priority="21421">
      <formula>IF($B35="Quoting",TRUE,FALSE)</formula>
    </cfRule>
    <cfRule type="expression" dxfId="9811" priority="21422">
      <formula>IF($B35="Quoting",TRUE,FALSE)</formula>
    </cfRule>
    <cfRule type="expression" dxfId="9810" priority="21423">
      <formula>IF($B35="Quoting",TRUE,FALSE)</formula>
    </cfRule>
    <cfRule type="expression" dxfId="9809" priority="21424">
      <formula>IF($B35="Quoting",TRUE,FALSE)</formula>
    </cfRule>
    <cfRule type="expression" dxfId="9808" priority="21425">
      <formula>IF($B35="Quoting",TRUE,FALSE)</formula>
    </cfRule>
    <cfRule type="expression" dxfId="9807" priority="21426">
      <formula>IF($B35="Quoting",TRUE,FALSE)</formula>
    </cfRule>
    <cfRule type="expression" dxfId="9806" priority="21427">
      <formula>IF($B35="Quoting",TRUE,FALSE)</formula>
    </cfRule>
    <cfRule type="expression" dxfId="9805" priority="21428">
      <formula>IF($B35="Quoting",TRUE,FALSE)</formula>
    </cfRule>
    <cfRule type="expression" dxfId="9804" priority="21429">
      <formula>IF($B35="Quoting",TRUE,FALSE)</formula>
    </cfRule>
    <cfRule type="expression" dxfId="9803" priority="21430">
      <formula>IF($B35="Quoting",TRUE,FALSE)</formula>
    </cfRule>
    <cfRule type="expression" dxfId="9802" priority="21431">
      <formula>IF($B35="Quoting",TRUE,FALSE)</formula>
    </cfRule>
    <cfRule type="expression" dxfId="9801" priority="21432">
      <formula>IF($B35="Quoting",TRUE,FALSE)</formula>
    </cfRule>
    <cfRule type="expression" dxfId="9800" priority="21433">
      <formula>IF($B35="Quoting",TRUE,FALSE)</formula>
    </cfRule>
    <cfRule type="expression" dxfId="9799" priority="21434">
      <formula>IF($B35="Quoting",TRUE,FALSE)</formula>
    </cfRule>
    <cfRule type="expression" dxfId="9798" priority="21435">
      <formula>IF($B35="Quoting",TRUE,FALSE)</formula>
    </cfRule>
    <cfRule type="expression" dxfId="9797" priority="21436">
      <formula>IF($B35="Quoting",TRUE,FALSE)</formula>
    </cfRule>
    <cfRule type="expression" dxfId="9796" priority="21437">
      <formula>IF($B35="Quoting",TRUE,FALSE)</formula>
    </cfRule>
    <cfRule type="expression" dxfId="9795" priority="21438">
      <formula>IF($B35="Quoting",TRUE,FALSE)</formula>
    </cfRule>
    <cfRule type="expression" dxfId="9794" priority="21439">
      <formula>IF($B35="Quoting",TRUE,FALSE)</formula>
    </cfRule>
    <cfRule type="expression" dxfId="9793" priority="21440">
      <formula>IF($B35="Quoting",TRUE,FALSE)</formula>
    </cfRule>
    <cfRule type="expression" dxfId="9792" priority="21441">
      <formula>IF($B35="Quoting",TRUE,FALSE)</formula>
    </cfRule>
    <cfRule type="expression" dxfId="9791" priority="21442">
      <formula>IF($B35="Quoting",TRUE,FALSE)</formula>
    </cfRule>
    <cfRule type="expression" dxfId="9790" priority="21443">
      <formula>IF($B35="Quoting",TRUE,FALSE)</formula>
    </cfRule>
    <cfRule type="expression" dxfId="9789" priority="21444">
      <formula>IF($B35="Quoting",TRUE,FALSE)</formula>
    </cfRule>
    <cfRule type="expression" dxfId="9788" priority="21445">
      <formula>IF($B35="Quoting",TRUE,FALSE)</formula>
    </cfRule>
    <cfRule type="expression" dxfId="9787" priority="21446">
      <formula>IF($B35="Quoting",TRUE,FALSE)</formula>
    </cfRule>
    <cfRule type="expression" dxfId="9786" priority="21447">
      <formula>IF($B35="Quoting",TRUE,FALSE)</formula>
    </cfRule>
    <cfRule type="expression" dxfId="9785" priority="21448">
      <formula>IF($B35="Quoting",TRUE,FALSE)</formula>
    </cfRule>
    <cfRule type="expression" dxfId="9784" priority="21449">
      <formula>IF($B35="Quoting",TRUE,FALSE)</formula>
    </cfRule>
    <cfRule type="expression" dxfId="9783" priority="21450">
      <formula>IF($B35="Quoting",TRUE,FALSE)</formula>
    </cfRule>
    <cfRule type="expression" dxfId="9782" priority="21451">
      <formula>IF($B35="Quoting",TRUE,FALSE)</formula>
    </cfRule>
    <cfRule type="expression" dxfId="9781" priority="21452">
      <formula>IF($B35="Quoting",TRUE,FALSE)</formula>
    </cfRule>
    <cfRule type="expression" dxfId="9780" priority="21453">
      <formula>IF($B35="Quoting",TRUE,FALSE)</formula>
    </cfRule>
    <cfRule type="expression" dxfId="9779" priority="21454">
      <formula>IF($B35="Quoting",TRUE,FALSE)</formula>
    </cfRule>
    <cfRule type="expression" dxfId="9778" priority="21455">
      <formula>IF($B35="Quoting",TRUE,FALSE)</formula>
    </cfRule>
    <cfRule type="expression" dxfId="9777" priority="21456">
      <formula>IF($B35="Quoting",TRUE,FALSE)</formula>
    </cfRule>
    <cfRule type="expression" dxfId="9776" priority="21457">
      <formula>IF($B35="Quoting",TRUE,FALSE)</formula>
    </cfRule>
    <cfRule type="expression" dxfId="9775" priority="21458">
      <formula>IF($B35="Quoting",TRUE,FALSE)</formula>
    </cfRule>
    <cfRule type="expression" dxfId="9774" priority="21459">
      <formula>IF($B35="Quoting",TRUE,FALSE)</formula>
    </cfRule>
    <cfRule type="expression" dxfId="9773" priority="21460">
      <formula>IF($B35="Quoting",TRUE,FALSE)</formula>
    </cfRule>
    <cfRule type="expression" dxfId="9772" priority="21461">
      <formula>IF($B35="Quoting",TRUE,FALSE)</formula>
    </cfRule>
    <cfRule type="expression" dxfId="9771" priority="21462">
      <formula>IF($B35="Quoting",TRUE,FALSE)</formula>
    </cfRule>
    <cfRule type="expression" dxfId="9770" priority="21463">
      <formula>IF($B35="Quoting",TRUE,FALSE)</formula>
    </cfRule>
    <cfRule type="expression" dxfId="9769" priority="21464">
      <formula>IF($B35="Quoting",TRUE,FALSE)</formula>
    </cfRule>
    <cfRule type="expression" dxfId="9768" priority="21465">
      <formula>IF($B35="Quoting",TRUE,FALSE)</formula>
    </cfRule>
    <cfRule type="expression" dxfId="9767" priority="21466">
      <formula>IF($B35="Quoting",TRUE,FALSE)</formula>
    </cfRule>
    <cfRule type="expression" dxfId="9766" priority="21467">
      <formula>IF($B35="Quoting",TRUE,FALSE)</formula>
    </cfRule>
    <cfRule type="expression" dxfId="9765" priority="21468">
      <formula>IF($B35="Quoting",TRUE,FALSE)</formula>
    </cfRule>
    <cfRule type="expression" dxfId="9764" priority="21469">
      <formula>IF($B35="Quoting",TRUE,FALSE)</formula>
    </cfRule>
    <cfRule type="expression" dxfId="9763" priority="21470">
      <formula>IF($B35="Quoting",TRUE,FALSE)</formula>
    </cfRule>
    <cfRule type="expression" dxfId="9762" priority="21471">
      <formula>IF($B35="Quoting",TRUE,FALSE)</formula>
    </cfRule>
    <cfRule type="expression" dxfId="9761" priority="21472">
      <formula>IF($B35="Quoting",TRUE,FALSE)</formula>
    </cfRule>
    <cfRule type="expression" dxfId="9760" priority="21473">
      <formula>IF($B35="Quoting",TRUE,FALSE)</formula>
    </cfRule>
    <cfRule type="expression" dxfId="9759" priority="21474">
      <formula>IF($B35="Quoting",TRUE,FALSE)</formula>
    </cfRule>
    <cfRule type="expression" dxfId="9758" priority="21475">
      <formula>IF($B35="Quoting",TRUE,FALSE)</formula>
    </cfRule>
    <cfRule type="expression" dxfId="9757" priority="21476">
      <formula>IF($B35="Quoting",TRUE,FALSE)</formula>
    </cfRule>
    <cfRule type="expression" dxfId="9756" priority="21477">
      <formula>IF($B35="Quoting",TRUE,FALSE)</formula>
    </cfRule>
    <cfRule type="expression" dxfId="9755" priority="21478">
      <formula>IF($B35="Quoting",TRUE,FALSE)</formula>
    </cfRule>
    <cfRule type="expression" dxfId="9754" priority="21479">
      <formula>IF($B35="Quoting",TRUE,FALSE)</formula>
    </cfRule>
    <cfRule type="expression" dxfId="9753" priority="21480">
      <formula>IF($B35="Quoting",TRUE,FALSE)</formula>
    </cfRule>
    <cfRule type="expression" dxfId="9752" priority="21481">
      <formula>IF($B35="Quoting",TRUE,FALSE)</formula>
    </cfRule>
    <cfRule type="expression" dxfId="9751" priority="21482">
      <formula>IF($B35="Quoting",TRUE,FALSE)</formula>
    </cfRule>
    <cfRule type="expression" dxfId="9750" priority="21483">
      <formula>IF($B35="Quoting",TRUE,FALSE)</formula>
    </cfRule>
    <cfRule type="expression" dxfId="9749" priority="21484">
      <formula>IF($B35="Quoting",TRUE,FALSE)</formula>
    </cfRule>
    <cfRule type="expression" dxfId="9748" priority="21485">
      <formula>IF($B35="Quoting",TRUE,FALSE)</formula>
    </cfRule>
    <cfRule type="expression" dxfId="9747" priority="21486">
      <formula>IF($B35="Quoting",TRUE,FALSE)</formula>
    </cfRule>
    <cfRule type="expression" dxfId="9746" priority="21487">
      <formula>IF($B35="Quoting",TRUE,FALSE)</formula>
    </cfRule>
    <cfRule type="expression" dxfId="9745" priority="21488">
      <formula>IF($B35="Quoting",TRUE,FALSE)</formula>
    </cfRule>
    <cfRule type="expression" dxfId="9744" priority="21489">
      <formula>IF($B35="Quoting",TRUE,FALSE)</formula>
    </cfRule>
    <cfRule type="expression" dxfId="9743" priority="21490">
      <formula>IF($B35="Quoting",TRUE,FALSE)</formula>
    </cfRule>
    <cfRule type="expression" dxfId="9742" priority="21491">
      <formula>IF($B35="Quoting",TRUE,FALSE)</formula>
    </cfRule>
    <cfRule type="expression" dxfId="9741" priority="21492">
      <formula>IF($B35="Quoting",TRUE,FALSE)</formula>
    </cfRule>
    <cfRule type="expression" dxfId="9740" priority="21493">
      <formula>IF($B35="Quoting",TRUE,FALSE)</formula>
    </cfRule>
    <cfRule type="expression" dxfId="9739" priority="21494">
      <formula>IF($B35="Quoting",TRUE,FALSE)</formula>
    </cfRule>
    <cfRule type="expression" dxfId="9738" priority="21495">
      <formula>IF($B35="Quoting",TRUE,FALSE)</formula>
    </cfRule>
    <cfRule type="expression" dxfId="9737" priority="21496">
      <formula>IF($B35="Quoting",TRUE,FALSE)</formula>
    </cfRule>
    <cfRule type="expression" dxfId="9736" priority="21497">
      <formula>IF($B35="Quoting",TRUE,FALSE)</formula>
    </cfRule>
    <cfRule type="expression" dxfId="9735" priority="21498">
      <formula>IF($B35="Quoting",TRUE,FALSE)</formula>
    </cfRule>
    <cfRule type="expression" dxfId="9734" priority="21499">
      <formula>IF($B35="Quoting",TRUE,FALSE)</formula>
    </cfRule>
    <cfRule type="expression" dxfId="9733" priority="21500">
      <formula>IF($B35="Quoting",TRUE,FALSE)</formula>
    </cfRule>
    <cfRule type="expression" dxfId="9732" priority="21501">
      <formula>IF($B35="Quoting",TRUE,FALSE)</formula>
    </cfRule>
    <cfRule type="expression" dxfId="9731" priority="21502">
      <formula>IF($B35="Quoting",TRUE,FALSE)</formula>
    </cfRule>
    <cfRule type="expression" dxfId="9730" priority="21503">
      <formula>IF($B35="Quoting",TRUE,FALSE)</formula>
    </cfRule>
    <cfRule type="expression" dxfId="9729" priority="21504">
      <formula>IF($B35="Quoting",TRUE,FALSE)</formula>
    </cfRule>
    <cfRule type="expression" dxfId="9728" priority="21505">
      <formula>IF($B35="Quoting",TRUE,FALSE)</formula>
    </cfRule>
    <cfRule type="expression" dxfId="9727" priority="21506">
      <formula>IF($B35="Quoting",TRUE,FALSE)</formula>
    </cfRule>
    <cfRule type="expression" dxfId="9726" priority="21507">
      <formula>IF($B35="Quoting",TRUE,FALSE)</formula>
    </cfRule>
    <cfRule type="expression" dxfId="9725" priority="21508">
      <formula>IF($B35="Quoting",TRUE,FALSE)</formula>
    </cfRule>
    <cfRule type="expression" dxfId="9724" priority="21509">
      <formula>IF($B35="Quoting",TRUE,FALSE)</formula>
    </cfRule>
    <cfRule type="expression" dxfId="9723" priority="21510">
      <formula>IF($B35="Quoting",TRUE,FALSE)</formula>
    </cfRule>
    <cfRule type="expression" dxfId="9722" priority="21511">
      <formula>IF($B35="Quoting",TRUE,FALSE)</formula>
    </cfRule>
    <cfRule type="expression" dxfId="9721" priority="21512">
      <formula>IF($B35="Quoting",TRUE,FALSE)</formula>
    </cfRule>
    <cfRule type="expression" dxfId="9720" priority="21513">
      <formula>IF($B35="Quoting",TRUE,FALSE)</formula>
    </cfRule>
    <cfRule type="expression" dxfId="9719" priority="21514">
      <formula>IF($B35="Quoting",TRUE,FALSE)</formula>
    </cfRule>
    <cfRule type="expression" dxfId="9718" priority="21515">
      <formula>IF($B35="Quoting",TRUE,FALSE)</formula>
    </cfRule>
    <cfRule type="expression" dxfId="9717" priority="21516">
      <formula>IF($B35="Quoting",TRUE,FALSE)</formula>
    </cfRule>
    <cfRule type="expression" dxfId="9716" priority="21517">
      <formula>IF($B35="Quoting",TRUE,FALSE)</formula>
    </cfRule>
    <cfRule type="expression" dxfId="9715" priority="21518">
      <formula>IF($B35="Quoting",TRUE,FALSE)</formula>
    </cfRule>
    <cfRule type="expression" dxfId="9714" priority="21519">
      <formula>IF($B35="Quoting",TRUE,FALSE)</formula>
    </cfRule>
    <cfRule type="expression" dxfId="9713" priority="21520">
      <formula>IF($B35="Quoting",TRUE,FALSE)</formula>
    </cfRule>
    <cfRule type="expression" dxfId="9712" priority="21521">
      <formula>IF($B35="Quoting",TRUE,FALSE)</formula>
    </cfRule>
    <cfRule type="expression" dxfId="9711" priority="21522">
      <formula>IF($B35="Quoting",TRUE,FALSE)</formula>
    </cfRule>
    <cfRule type="expression" dxfId="9710" priority="21523">
      <formula>IF($B35="Quoting",TRUE,FALSE)</formula>
    </cfRule>
    <cfRule type="expression" dxfId="9709" priority="21524">
      <formula>IF($B35="Quoting",TRUE,FALSE)</formula>
    </cfRule>
    <cfRule type="expression" dxfId="9708" priority="21525">
      <formula>IF($B35="Quoting",TRUE,FALSE)</formula>
    </cfRule>
    <cfRule type="expression" dxfId="9707" priority="21526">
      <formula>IF($B35="Quoting",TRUE,FALSE)</formula>
    </cfRule>
    <cfRule type="expression" dxfId="9706" priority="21527">
      <formula>IF($B35="Quoting",TRUE,FALSE)</formula>
    </cfRule>
    <cfRule type="expression" dxfId="9705" priority="21528">
      <formula>IF($B35="Quoting",TRUE,FALSE)</formula>
    </cfRule>
    <cfRule type="expression" dxfId="9704" priority="21529">
      <formula>IF($B35="Quoting",TRUE,FALSE)</formula>
    </cfRule>
    <cfRule type="expression" dxfId="9703" priority="21530">
      <formula>IF($B35="Quoting",TRUE,FALSE)</formula>
    </cfRule>
    <cfRule type="expression" dxfId="9702" priority="21531">
      <formula>IF($B35="Quoting",TRUE,FALSE)</formula>
    </cfRule>
    <cfRule type="expression" dxfId="9701" priority="21532">
      <formula>IF($B35="Quoting",TRUE,FALSE)</formula>
    </cfRule>
    <cfRule type="expression" dxfId="9700" priority="21533">
      <formula>IF($B35="Quoting",TRUE,FALSE)</formula>
    </cfRule>
    <cfRule type="expression" dxfId="9699" priority="21534">
      <formula>IF($B35="Quoting",TRUE,FALSE)</formula>
    </cfRule>
    <cfRule type="expression" dxfId="9698" priority="21535">
      <formula>IF($B35="Quoting",TRUE,FALSE)</formula>
    </cfRule>
    <cfRule type="expression" dxfId="9697" priority="21536">
      <formula>IF($B35="Quoting",TRUE,FALSE)</formula>
    </cfRule>
    <cfRule type="expression" dxfId="9696" priority="21537">
      <formula>IF($B35="Quoting",TRUE,FALSE)</formula>
    </cfRule>
    <cfRule type="expression" dxfId="9695" priority="21538">
      <formula>IF($B35="Quoting",TRUE,FALSE)</formula>
    </cfRule>
    <cfRule type="expression" dxfId="9694" priority="21539">
      <formula>IF($B35="Quoting",TRUE,FALSE)</formula>
    </cfRule>
    <cfRule type="expression" dxfId="9693" priority="21540">
      <formula>IF($B35="Quoting",TRUE,FALSE)</formula>
    </cfRule>
    <cfRule type="expression" dxfId="9692" priority="21541">
      <formula>IF($B35="Quoting",TRUE,FALSE)</formula>
    </cfRule>
    <cfRule type="expression" dxfId="9691" priority="21542">
      <formula>IF($B35="Quoting",TRUE,FALSE)</formula>
    </cfRule>
    <cfRule type="expression" dxfId="9690" priority="21543">
      <formula>IF($B35="Quoting",TRUE,FALSE)</formula>
    </cfRule>
    <cfRule type="expression" dxfId="9689" priority="21544">
      <formula>IF($B35="Quoting",TRUE,FALSE)</formula>
    </cfRule>
    <cfRule type="expression" dxfId="9688" priority="21545">
      <formula>IF($B35="Quoting",TRUE,FALSE)</formula>
    </cfRule>
    <cfRule type="expression" dxfId="9687" priority="21546">
      <formula>IF($B35="Quoting",TRUE,FALSE)</formula>
    </cfRule>
    <cfRule type="expression" dxfId="9686" priority="21547">
      <formula>IF($B35="Quoting",TRUE,FALSE)</formula>
    </cfRule>
    <cfRule type="expression" dxfId="9685" priority="21548">
      <formula>IF($B35="Quoting",TRUE,FALSE)</formula>
    </cfRule>
    <cfRule type="expression" dxfId="9684" priority="21549">
      <formula>IF($B35="Quoting",TRUE,FALSE)</formula>
    </cfRule>
    <cfRule type="expression" dxfId="9683" priority="21550">
      <formula>IF($B35="Quoting",TRUE,FALSE)</formula>
    </cfRule>
    <cfRule type="expression" dxfId="9682" priority="21551">
      <formula>IF($B35="Quoting",TRUE,FALSE)</formula>
    </cfRule>
    <cfRule type="expression" dxfId="9681" priority="21552">
      <formula>IF($B35="Quoting",TRUE,FALSE)</formula>
    </cfRule>
    <cfRule type="expression" dxfId="9680" priority="21553">
      <formula>IF($B35="Quoting",TRUE,FALSE)</formula>
    </cfRule>
    <cfRule type="expression" dxfId="9679" priority="21554">
      <formula>IF($B35="Quoting",TRUE,FALSE)</formula>
    </cfRule>
    <cfRule type="expression" dxfId="9678" priority="21555">
      <formula>IF($B35="Quoting",TRUE,FALSE)</formula>
    </cfRule>
    <cfRule type="expression" dxfId="9677" priority="21556">
      <formula>IF($B35="Quoting",TRUE,FALSE)</formula>
    </cfRule>
    <cfRule type="expression" dxfId="9676" priority="21557">
      <formula>IF($B35="Quoting",TRUE,FALSE)</formula>
    </cfRule>
    <cfRule type="expression" dxfId="9675" priority="21558">
      <formula>IF($B35="Quoting",TRUE,FALSE)</formula>
    </cfRule>
    <cfRule type="expression" dxfId="9674" priority="21559">
      <formula>IF($B35="Quoting",TRUE,FALSE)</formula>
    </cfRule>
    <cfRule type="expression" dxfId="9673" priority="21560">
      <formula>IF($B35="Quoting",TRUE,FALSE)</formula>
    </cfRule>
    <cfRule type="expression" dxfId="9672" priority="21561">
      <formula>IF($B35="Quoting",TRUE,FALSE)</formula>
    </cfRule>
    <cfRule type="expression" dxfId="9671" priority="21562">
      <formula>IF($B35="Quoting",TRUE,FALSE)</formula>
    </cfRule>
    <cfRule type="expression" dxfId="9670" priority="21563">
      <formula>IF($B35="Quoting",TRUE,FALSE)</formula>
    </cfRule>
    <cfRule type="expression" dxfId="9669" priority="21564">
      <formula>IF($B35="Quoting",TRUE,FALSE)</formula>
    </cfRule>
    <cfRule type="expression" dxfId="9668" priority="21565">
      <formula>IF($B35="Quoting",TRUE,FALSE)</formula>
    </cfRule>
    <cfRule type="expression" dxfId="9667" priority="21566">
      <formula>IF($B35="Quoting",TRUE,FALSE)</formula>
    </cfRule>
    <cfRule type="expression" dxfId="9666" priority="21567">
      <formula>IF($B35="Quoting",TRUE,FALSE)</formula>
    </cfRule>
    <cfRule type="expression" dxfId="9665" priority="21568">
      <formula>IF($B35="Quoting",TRUE,FALSE)</formula>
    </cfRule>
    <cfRule type="expression" dxfId="9664" priority="21569">
      <formula>IF($B35="Quoting",TRUE,FALSE)</formula>
    </cfRule>
    <cfRule type="expression" dxfId="9663" priority="21570">
      <formula>IF($B35="Quoting",TRUE,FALSE)</formula>
    </cfRule>
    <cfRule type="expression" dxfId="9662" priority="21571">
      <formula>IF($B35="Quoting",TRUE,FALSE)</formula>
    </cfRule>
    <cfRule type="expression" dxfId="9661" priority="21572">
      <formula>IF($B35="Quoting",TRUE,FALSE)</formula>
    </cfRule>
    <cfRule type="expression" dxfId="9660" priority="21573">
      <formula>IF($B35="Quoting",TRUE,FALSE)</formula>
    </cfRule>
    <cfRule type="expression" dxfId="9659" priority="21574">
      <formula>IF($B35="Quoting",TRUE,FALSE)</formula>
    </cfRule>
    <cfRule type="expression" dxfId="9658" priority="21575">
      <formula>IF($B35="Quoting",TRUE,FALSE)</formula>
    </cfRule>
    <cfRule type="expression" dxfId="9657" priority="21576">
      <formula>IF($B35="Quoting",TRUE,FALSE)</formula>
    </cfRule>
    <cfRule type="expression" dxfId="9656" priority="21577">
      <formula>IF($B35="Quoting",TRUE,FALSE)</formula>
    </cfRule>
    <cfRule type="expression" dxfId="9655" priority="21578">
      <formula>IF($B35="Quoting",TRUE,FALSE)</formula>
    </cfRule>
    <cfRule type="expression" dxfId="9654" priority="21579">
      <formula>IF($B35="Quoting",TRUE,FALSE)</formula>
    </cfRule>
    <cfRule type="expression" dxfId="9653" priority="21580">
      <formula>IF($B35="VOID",TRUE,FALSE)</formula>
    </cfRule>
    <cfRule type="expression" dxfId="9652" priority="21581">
      <formula>IF($B35="VOID",TRUE,FALSE)</formula>
    </cfRule>
    <cfRule type="expression" dxfId="9651" priority="21582">
      <formula>IF($B35="Quoting",TRUE,FALSE)</formula>
    </cfRule>
    <cfRule type="expression" dxfId="9650" priority="21583">
      <formula>IF($B35="Quoting",TRUE,FALSE)</formula>
    </cfRule>
    <cfRule type="expression" dxfId="9649" priority="21584">
      <formula>IF($B35="Quoting",TRUE,FALSE)</formula>
    </cfRule>
    <cfRule type="expression" dxfId="9648" priority="21585">
      <formula>IF($B35="Quoting",TRUE,FALSE)</formula>
    </cfRule>
    <cfRule type="expression" dxfId="9647" priority="21586">
      <formula>IF($B35="Quoting",TRUE,FALSE)</formula>
    </cfRule>
    <cfRule type="expression" dxfId="9646" priority="21587">
      <formula>IF($B35="Quoting",TRUE,FALSE)</formula>
    </cfRule>
    <cfRule type="expression" dxfId="9645" priority="21588">
      <formula>IF($B35="Quoting",TRUE,FALSE)</formula>
    </cfRule>
    <cfRule type="expression" dxfId="9644" priority="21589">
      <formula>IF($B35="Quoting",TRUE,FALSE)</formula>
    </cfRule>
    <cfRule type="expression" dxfId="9643" priority="21590">
      <formula>IF($B35="Quoting",TRUE,FALSE)</formula>
    </cfRule>
    <cfRule type="expression" dxfId="9642" priority="21591">
      <formula>IF($B35="Quoting",TRUE,FALSE)</formula>
    </cfRule>
    <cfRule type="expression" dxfId="9641" priority="21592">
      <formula>IF($B35="Quoting",TRUE,FALSE)</formula>
    </cfRule>
    <cfRule type="expression" dxfId="9640" priority="21593">
      <formula>IF($B35="Quoting",TRUE,FALSE)</formula>
    </cfRule>
    <cfRule type="expression" dxfId="9639" priority="21594">
      <formula>IF($B35="Quoting",TRUE,FALSE)</formula>
    </cfRule>
    <cfRule type="expression" dxfId="9638" priority="21595">
      <formula>IF($B35="Quoting",TRUE,FALSE)</formula>
    </cfRule>
    <cfRule type="expression" dxfId="9637" priority="21596">
      <formula>IF($B35="Quoting",TRUE,FALSE)</formula>
    </cfRule>
    <cfRule type="expression" dxfId="9636" priority="21597">
      <formula>IF($B35="Quoting",TRUE,FALSE)</formula>
    </cfRule>
    <cfRule type="expression" dxfId="9635" priority="21598">
      <formula>IF($B35="Quoting",TRUE,FALSE)</formula>
    </cfRule>
    <cfRule type="expression" dxfId="9634" priority="21599">
      <formula>IF($B35="Quoting",TRUE,FALSE)</formula>
    </cfRule>
    <cfRule type="expression" dxfId="9633" priority="21600">
      <formula>IF($B35="Quoting",TRUE,FALSE)</formula>
    </cfRule>
    <cfRule type="expression" dxfId="9632" priority="21601">
      <formula>IF($B35="Quoting",TRUE,FALSE)</formula>
    </cfRule>
    <cfRule type="expression" dxfId="9631" priority="21602">
      <formula>IF($B35="Quoting",TRUE,FALSE)</formula>
    </cfRule>
    <cfRule type="expression" dxfId="9630" priority="21603">
      <formula>IF($B35="Quoting",TRUE,FALSE)</formula>
    </cfRule>
    <cfRule type="expression" dxfId="9629" priority="21604">
      <formula>IF($B35="Quoting",TRUE,FALSE)</formula>
    </cfRule>
    <cfRule type="expression" dxfId="9628" priority="21605">
      <formula>IF($B35="Quoting",TRUE,FALSE)</formula>
    </cfRule>
    <cfRule type="expression" dxfId="9627" priority="21606">
      <formula>IF($B35="Quoting",TRUE,FALSE)</formula>
    </cfRule>
    <cfRule type="expression" dxfId="9626" priority="21607">
      <formula>IF($B35="Quoting",TRUE,FALSE)</formula>
    </cfRule>
    <cfRule type="expression" dxfId="9625" priority="21608">
      <formula>IF($B35="Quoting",TRUE,FALSE)</formula>
    </cfRule>
    <cfRule type="expression" dxfId="9624" priority="21609">
      <formula>IF($B35="Quoting",TRUE,FALSE)</formula>
    </cfRule>
    <cfRule type="expression" dxfId="9623" priority="21610">
      <formula>IF($B35="Quoting",TRUE,FALSE)</formula>
    </cfRule>
    <cfRule type="expression" dxfId="9622" priority="21611">
      <formula>IF($B35="Quoting",TRUE,FALSE)</formula>
    </cfRule>
    <cfRule type="expression" dxfId="9621" priority="21612">
      <formula>IF($B35="Quoting",TRUE,FALSE)</formula>
    </cfRule>
    <cfRule type="expression" dxfId="9620" priority="21613">
      <formula>IF($B35="Quoting",TRUE,FALSE)</formula>
    </cfRule>
    <cfRule type="expression" dxfId="9619" priority="21614">
      <formula>IF($B35="Quoting",TRUE,FALSE)</formula>
    </cfRule>
    <cfRule type="expression" dxfId="9618" priority="21615">
      <formula>IF($B35="Quoting",TRUE,FALSE)</formula>
    </cfRule>
    <cfRule type="expression" dxfId="9617" priority="21616">
      <formula>IF($B35="Quoting",TRUE,FALSE)</formula>
    </cfRule>
    <cfRule type="expression" dxfId="9616" priority="21617">
      <formula>IF($B35="Quoting",TRUE,FALSE)</formula>
    </cfRule>
    <cfRule type="expression" dxfId="9615" priority="21618">
      <formula>IF($B35="Quoting",TRUE,FALSE)</formula>
    </cfRule>
    <cfRule type="expression" dxfId="9614" priority="21619">
      <formula>IF($B35="Quoting",TRUE,FALSE)</formula>
    </cfRule>
    <cfRule type="expression" dxfId="9613" priority="21620">
      <formula>IF($B35="Quoting",TRUE,FALSE)</formula>
    </cfRule>
    <cfRule type="expression" dxfId="9612" priority="21621">
      <formula>IF($B35="Quoting",TRUE,FALSE)</formula>
    </cfRule>
    <cfRule type="expression" dxfId="9611" priority="21622">
      <formula>IF($B35="Quoting",TRUE,FALSE)</formula>
    </cfRule>
    <cfRule type="expression" dxfId="9610" priority="21623">
      <formula>IF($B35="Quoting",TRUE,FALSE)</formula>
    </cfRule>
    <cfRule type="expression" dxfId="9609" priority="21624">
      <formula>IF($B35="Quoting",TRUE,FALSE)</formula>
    </cfRule>
    <cfRule type="expression" dxfId="9608" priority="21625">
      <formula>IF($B35="Quoting",TRUE,FALSE)</formula>
    </cfRule>
    <cfRule type="expression" dxfId="9607" priority="21626">
      <formula>IF($B35="Quoting",TRUE,FALSE)</formula>
    </cfRule>
    <cfRule type="expression" dxfId="9606" priority="21627">
      <formula>IF($B35="Quoting",TRUE,FALSE)</formula>
    </cfRule>
    <cfRule type="expression" dxfId="9605" priority="21628">
      <formula>IF($B35="Quoting",TRUE,FALSE)</formula>
    </cfRule>
    <cfRule type="expression" dxfId="9604" priority="21629">
      <formula>IF($B35="Quoting",TRUE,FALSE)</formula>
    </cfRule>
    <cfRule type="expression" dxfId="9603" priority="21630">
      <formula>IF($B35="Quoting",TRUE,FALSE)</formula>
    </cfRule>
    <cfRule type="expression" dxfId="9602" priority="21631">
      <formula>IF($B35="Quoting",TRUE,FALSE)</formula>
    </cfRule>
    <cfRule type="expression" dxfId="9601" priority="21632">
      <formula>IF($B35="Quoting",TRUE,FALSE)</formula>
    </cfRule>
    <cfRule type="expression" dxfId="9600" priority="21633">
      <formula>IF($B35="Quoting",TRUE,FALSE)</formula>
    </cfRule>
    <cfRule type="expression" dxfId="9599" priority="21634">
      <formula>IF($B35="Quoting",TRUE,FALSE)</formula>
    </cfRule>
    <cfRule type="expression" dxfId="9598" priority="21635">
      <formula>IF($B35="Quoting",TRUE,FALSE)</formula>
    </cfRule>
    <cfRule type="expression" dxfId="9597" priority="21636">
      <formula>IF($B35="Quoting",TRUE,FALSE)</formula>
    </cfRule>
    <cfRule type="expression" dxfId="9596" priority="21637">
      <formula>IF($B35="Quoting",TRUE,FALSE)</formula>
    </cfRule>
    <cfRule type="expression" dxfId="9595" priority="21638">
      <formula>IF($B35="Quoting",TRUE,FALSE)</formula>
    </cfRule>
    <cfRule type="expression" dxfId="9594" priority="21639">
      <formula>IF($B35="Quoting",TRUE,FALSE)</formula>
    </cfRule>
    <cfRule type="expression" dxfId="9593" priority="21640">
      <formula>IF($B35="Quoting",TRUE,FALSE)</formula>
    </cfRule>
    <cfRule type="expression" dxfId="9592" priority="21641">
      <formula>IF($B35="Quoting",TRUE,FALSE)</formula>
    </cfRule>
    <cfRule type="expression" dxfId="9591" priority="21642">
      <formula>IF($B35="Quoting",TRUE,FALSE)</formula>
    </cfRule>
    <cfRule type="expression" dxfId="9590" priority="21643">
      <formula>IF($B35="Quoting",TRUE,FALSE)</formula>
    </cfRule>
    <cfRule type="expression" dxfId="9589" priority="21644">
      <formula>IF($B35="Quoting",TRUE,FALSE)</formula>
    </cfRule>
    <cfRule type="expression" dxfId="9588" priority="21645">
      <formula>IF($B35="Quoting",TRUE,FALSE)</formula>
    </cfRule>
    <cfRule type="expression" dxfId="9587" priority="21646">
      <formula>IF($B35="Quoting",TRUE,FALSE)</formula>
    </cfRule>
    <cfRule type="expression" dxfId="9586" priority="21647">
      <formula>IF($B35="Quoting",TRUE,FALSE)</formula>
    </cfRule>
    <cfRule type="expression" dxfId="9585" priority="21648">
      <formula>IF($B35="Quoting",TRUE,FALSE)</formula>
    </cfRule>
    <cfRule type="expression" dxfId="9584" priority="21649">
      <formula>IF($B35="Quoting",TRUE,FALSE)</formula>
    </cfRule>
    <cfRule type="expression" dxfId="9583" priority="21650">
      <formula>IF($B35="Quoting",TRUE,FALSE)</formula>
    </cfRule>
    <cfRule type="expression" dxfId="9582" priority="21651">
      <formula>IF($B35="Quoting",TRUE,FALSE)</formula>
    </cfRule>
    <cfRule type="expression" dxfId="9581" priority="21652">
      <formula>IF($B35="Quoting",TRUE,FALSE)</formula>
    </cfRule>
    <cfRule type="expression" dxfId="9580" priority="21653">
      <formula>IF($B35="Quoting",TRUE,FALSE)</formula>
    </cfRule>
    <cfRule type="expression" dxfId="9579" priority="21654">
      <formula>IF($B35="Quoting",TRUE,FALSE)</formula>
    </cfRule>
    <cfRule type="expression" dxfId="9578" priority="21655">
      <formula>IF($B35="Quoting",TRUE,FALSE)</formula>
    </cfRule>
    <cfRule type="expression" dxfId="9577" priority="21656">
      <formula>IF($B35="Quoting",TRUE,FALSE)</formula>
    </cfRule>
    <cfRule type="expression" dxfId="9576" priority="21657">
      <formula>IF($B35="Quoting",TRUE,FALSE)</formula>
    </cfRule>
    <cfRule type="expression" dxfId="9575" priority="21658">
      <formula>IF($B35="Quoting",TRUE,FALSE)</formula>
    </cfRule>
    <cfRule type="expression" dxfId="9574" priority="21659">
      <formula>IF($B35="Quoting",TRUE,FALSE)</formula>
    </cfRule>
    <cfRule type="expression" dxfId="9573" priority="21660">
      <formula>IF($B35="Quoting",TRUE,FALSE)</formula>
    </cfRule>
    <cfRule type="expression" dxfId="9572" priority="21661">
      <formula>IF($B35="Quoting",TRUE,FALSE)</formula>
    </cfRule>
    <cfRule type="expression" dxfId="9571" priority="21662">
      <formula>IF($B35="Quoting",TRUE,FALSE)</formula>
    </cfRule>
    <cfRule type="expression" dxfId="9570" priority="21663">
      <formula>IF($B35="Quoting",TRUE,FALSE)</formula>
    </cfRule>
    <cfRule type="expression" dxfId="9569" priority="21664">
      <formula>IF($B35="Quoting",TRUE,FALSE)</formula>
    </cfRule>
    <cfRule type="expression" dxfId="9568" priority="21665">
      <formula>IF($B35="Quoting",TRUE,FALSE)</formula>
    </cfRule>
    <cfRule type="expression" dxfId="9567" priority="21666">
      <formula>IF($B35="Quoting",TRUE,FALSE)</formula>
    </cfRule>
    <cfRule type="expression" dxfId="9566" priority="21667">
      <formula>IF($B35="Quoting",TRUE,FALSE)</formula>
    </cfRule>
    <cfRule type="expression" dxfId="9565" priority="21668">
      <formula>IF($B35="Quoting",TRUE,FALSE)</formula>
    </cfRule>
    <cfRule type="expression" dxfId="9564" priority="21669">
      <formula>IF($B35="Quoting",TRUE,FALSE)</formula>
    </cfRule>
    <cfRule type="expression" dxfId="9563" priority="21670">
      <formula>IF($B35="Quoting",TRUE,FALSE)</formula>
    </cfRule>
    <cfRule type="expression" dxfId="9562" priority="21671">
      <formula>IF($B35="Quoting",TRUE,FALSE)</formula>
    </cfRule>
    <cfRule type="expression" dxfId="9561" priority="21672">
      <formula>IF($B35="Quoting",TRUE,FALSE)</formula>
    </cfRule>
    <cfRule type="expression" dxfId="9560" priority="21673">
      <formula>IF($B35="Quoting",TRUE,FALSE)</formula>
    </cfRule>
    <cfRule type="expression" dxfId="9559" priority="21674">
      <formula>IF($B35="Quoting",TRUE,FALSE)</formula>
    </cfRule>
    <cfRule type="expression" dxfId="9558" priority="21675">
      <formula>IF($B35="Quoting",TRUE,FALSE)</formula>
    </cfRule>
    <cfRule type="expression" dxfId="9557" priority="21676">
      <formula>IF($B35="Quoting",TRUE,FALSE)</formula>
    </cfRule>
    <cfRule type="expression" dxfId="9556" priority="21677">
      <formula>IF($B35="Quoting",TRUE,FALSE)</formula>
    </cfRule>
    <cfRule type="expression" dxfId="9555" priority="21678">
      <formula>IF($B35="Quoting",TRUE,FALSE)</formula>
    </cfRule>
    <cfRule type="expression" dxfId="9554" priority="21679">
      <formula>IF($B35="Quoting",TRUE,FALSE)</formula>
    </cfRule>
    <cfRule type="expression" dxfId="9553" priority="21680">
      <formula>IF($B35="Quoting",TRUE,FALSE)</formula>
    </cfRule>
    <cfRule type="expression" dxfId="9552" priority="21681">
      <formula>IF($B35="Quoting",TRUE,FALSE)</formula>
    </cfRule>
    <cfRule type="expression" dxfId="9551" priority="21682">
      <formula>IF($B35="Quoting",TRUE,FALSE)</formula>
    </cfRule>
    <cfRule type="expression" dxfId="9550" priority="21683">
      <formula>IF($B35="Quoting",TRUE,FALSE)</formula>
    </cfRule>
    <cfRule type="expression" dxfId="9549" priority="21684">
      <formula>IF($B35="Quoting",TRUE,FALSE)</formula>
    </cfRule>
    <cfRule type="expression" dxfId="9548" priority="21685">
      <formula>IF($B35="Quoting",TRUE,FALSE)</formula>
    </cfRule>
    <cfRule type="expression" dxfId="9547" priority="21686">
      <formula>IF($B35="Quoting",TRUE,FALSE)</formula>
    </cfRule>
    <cfRule type="expression" dxfId="9546" priority="21687">
      <formula>IF($B35="Quoting",TRUE,FALSE)</formula>
    </cfRule>
    <cfRule type="expression" dxfId="9545" priority="21688">
      <formula>IF($B35="Quoting",TRUE,FALSE)</formula>
    </cfRule>
    <cfRule type="expression" dxfId="9544" priority="21689">
      <formula>IF($B35="Quoting",TRUE,FALSE)</formula>
    </cfRule>
    <cfRule type="expression" dxfId="9543" priority="21690">
      <formula>IF($B35="Quoting",TRUE,FALSE)</formula>
    </cfRule>
    <cfRule type="expression" dxfId="9542" priority="21691">
      <formula>IF($B35="Quoting",TRUE,FALSE)</formula>
    </cfRule>
    <cfRule type="expression" dxfId="9541" priority="21692">
      <formula>IF($B35="Quoting",TRUE,FALSE)</formula>
    </cfRule>
    <cfRule type="expression" dxfId="9540" priority="21693">
      <formula>IF($B35="Quoting",TRUE,FALSE)</formula>
    </cfRule>
    <cfRule type="expression" dxfId="9539" priority="21694">
      <formula>IF($B35="Quoting",TRUE,FALSE)</formula>
    </cfRule>
    <cfRule type="expression" dxfId="9538" priority="21695">
      <formula>IF($B35="Quoting",TRUE,FALSE)</formula>
    </cfRule>
    <cfRule type="expression" dxfId="9537" priority="21696">
      <formula>IF($B35="Quoting",TRUE,FALSE)</formula>
    </cfRule>
    <cfRule type="expression" dxfId="9536" priority="21697">
      <formula>IF($B35="Quoting",TRUE,FALSE)</formula>
    </cfRule>
    <cfRule type="expression" dxfId="9535" priority="21698">
      <formula>IF($B35="Quoting",TRUE,FALSE)</formula>
    </cfRule>
    <cfRule type="expression" dxfId="9534" priority="21699">
      <formula>IF($B35="Quoting",TRUE,FALSE)</formula>
    </cfRule>
    <cfRule type="expression" dxfId="9533" priority="21700">
      <formula>IF($B35="Quoting",TRUE,FALSE)</formula>
    </cfRule>
    <cfRule type="expression" dxfId="9532" priority="21701">
      <formula>IF($B35="Quoting",TRUE,FALSE)</formula>
    </cfRule>
    <cfRule type="expression" dxfId="9531" priority="21702">
      <formula>IF($B35="Quoting",TRUE,FALSE)</formula>
    </cfRule>
    <cfRule type="expression" dxfId="9530" priority="21703">
      <formula>IF($B35="Quoting",TRUE,FALSE)</formula>
    </cfRule>
    <cfRule type="expression" dxfId="9529" priority="21704">
      <formula>IF($B35="Quoting",TRUE,FALSE)</formula>
    </cfRule>
    <cfRule type="expression" dxfId="9528" priority="21705">
      <formula>IF($B35="Quoting",TRUE,FALSE)</formula>
    </cfRule>
    <cfRule type="expression" dxfId="9527" priority="21706">
      <formula>IF($B35="Quoting",TRUE,FALSE)</formula>
    </cfRule>
    <cfRule type="expression" dxfId="9526" priority="21707">
      <formula>IF($B35="Quoting",TRUE,FALSE)</formula>
    </cfRule>
    <cfRule type="expression" dxfId="9525" priority="21708">
      <formula>IF($B35="Quoting",TRUE,FALSE)</formula>
    </cfRule>
    <cfRule type="expression" dxfId="9524" priority="21709">
      <formula>IF($B35="Quoting",TRUE,FALSE)</formula>
    </cfRule>
    <cfRule type="expression" dxfId="9523" priority="21710">
      <formula>IF($B35="Quoting",TRUE,FALSE)</formula>
    </cfRule>
    <cfRule type="expression" dxfId="9522" priority="21711">
      <formula>IF($B35="Quoting",TRUE,FALSE)</formula>
    </cfRule>
    <cfRule type="expression" dxfId="9521" priority="21712">
      <formula>IF($B35="Quoting",TRUE,FALSE)</formula>
    </cfRule>
    <cfRule type="expression" dxfId="9520" priority="21713">
      <formula>IF($B35="Quoting",TRUE,FALSE)</formula>
    </cfRule>
    <cfRule type="expression" dxfId="9519" priority="21714">
      <formula>IF($B35="Quoting",TRUE,FALSE)</formula>
    </cfRule>
    <cfRule type="expression" dxfId="9518" priority="21715">
      <formula>IF($B35="Quoting",TRUE,FALSE)</formula>
    </cfRule>
    <cfRule type="expression" dxfId="9517" priority="21716">
      <formula>IF($B35="Quoting",TRUE,FALSE)</formula>
    </cfRule>
    <cfRule type="expression" dxfId="9516" priority="21717">
      <formula>IF($B35="Quoting",TRUE,FALSE)</formula>
    </cfRule>
    <cfRule type="expression" dxfId="9515" priority="21718">
      <formula>IF($B35="Quoting",TRUE,FALSE)</formula>
    </cfRule>
    <cfRule type="expression" dxfId="9514" priority="21719">
      <formula>IF($B35="Quoting",TRUE,FALSE)</formula>
    </cfRule>
    <cfRule type="expression" dxfId="9513" priority="21720">
      <formula>IF($B35="Quoting",TRUE,FALSE)</formula>
    </cfRule>
    <cfRule type="expression" dxfId="9512" priority="21721">
      <formula>IF($B35="Quoting",TRUE,FALSE)</formula>
    </cfRule>
    <cfRule type="expression" dxfId="9511" priority="21722">
      <formula>IF($B35="Quoting",TRUE,FALSE)</formula>
    </cfRule>
    <cfRule type="expression" dxfId="9510" priority="21723">
      <formula>IF($B35="Quoting",TRUE,FALSE)</formula>
    </cfRule>
    <cfRule type="expression" dxfId="9509" priority="21724">
      <formula>IF($B35="Quoting",TRUE,FALSE)</formula>
    </cfRule>
    <cfRule type="expression" dxfId="9508" priority="21725">
      <formula>IF($B35="Quoting",TRUE,FALSE)</formula>
    </cfRule>
    <cfRule type="expression" dxfId="9507" priority="21726">
      <formula>IF($B35="Quoting",TRUE,FALSE)</formula>
    </cfRule>
    <cfRule type="expression" dxfId="9506" priority="21727">
      <formula>IF($B35="Quoting",TRUE,FALSE)</formula>
    </cfRule>
    <cfRule type="expression" dxfId="9505" priority="21728">
      <formula>IF($B35="Quoting",TRUE,FALSE)</formula>
    </cfRule>
    <cfRule type="expression" dxfId="9504" priority="21729">
      <formula>IF($B35="Quoting",TRUE,FALSE)</formula>
    </cfRule>
    <cfRule type="expression" dxfId="9503" priority="21730">
      <formula>IF($B35="Quoting",TRUE,FALSE)</formula>
    </cfRule>
    <cfRule type="expression" dxfId="9502" priority="21731">
      <formula>IF($B35="Quoting",TRUE,FALSE)</formula>
    </cfRule>
    <cfRule type="expression" dxfId="9501" priority="21732">
      <formula>IF($B35="Quoting",TRUE,FALSE)</formula>
    </cfRule>
    <cfRule type="expression" dxfId="9500" priority="21733">
      <formula>IF($B35="Quoting",TRUE,FALSE)</formula>
    </cfRule>
    <cfRule type="expression" dxfId="9499" priority="21734">
      <formula>IF($B35="Quoting",TRUE,FALSE)</formula>
    </cfRule>
    <cfRule type="expression" dxfId="9498" priority="21735">
      <formula>IF($B35="Quoting",TRUE,FALSE)</formula>
    </cfRule>
    <cfRule type="expression" dxfId="9497" priority="21736">
      <formula>IF($B35="Quoting",TRUE,FALSE)</formula>
    </cfRule>
    <cfRule type="expression" dxfId="9496" priority="21737">
      <formula>IF($B35="Quoting",TRUE,FALSE)</formula>
    </cfRule>
    <cfRule type="expression" dxfId="9495" priority="21738">
      <formula>IF($B35="Quoting",TRUE,FALSE)</formula>
    </cfRule>
    <cfRule type="expression" dxfId="9494" priority="21739">
      <formula>IF($B35="Quoting",TRUE,FALSE)</formula>
    </cfRule>
    <cfRule type="expression" dxfId="9493" priority="21740">
      <formula>IF($B35="Quoting",TRUE,FALSE)</formula>
    </cfRule>
    <cfRule type="expression" dxfId="9492" priority="21741">
      <formula>IF($B35="Quoting",TRUE,FALSE)</formula>
    </cfRule>
    <cfRule type="expression" dxfId="9491" priority="21742">
      <formula>IF($B35="Quoting",TRUE,FALSE)</formula>
    </cfRule>
    <cfRule type="expression" dxfId="9490" priority="21743">
      <formula>IF($B35="Quoting",TRUE,FALSE)</formula>
    </cfRule>
    <cfRule type="expression" dxfId="9489" priority="21744">
      <formula>IF($B35="Quoting",TRUE,FALSE)</formula>
    </cfRule>
    <cfRule type="expression" dxfId="9488" priority="21745">
      <formula>IF($B35="Quoting",TRUE,FALSE)</formula>
    </cfRule>
    <cfRule type="expression" dxfId="9487" priority="21746">
      <formula>IF($B35="Quoting",TRUE,FALSE)</formula>
    </cfRule>
    <cfRule type="expression" dxfId="9486" priority="21747">
      <formula>IF($B35="Quoting",TRUE,FALSE)</formula>
    </cfRule>
    <cfRule type="expression" dxfId="9485" priority="21748">
      <formula>IF($B35="Quoting",TRUE,FALSE)</formula>
    </cfRule>
    <cfRule type="expression" dxfId="9484" priority="21749">
      <formula>IF($B35="Quoting",TRUE,FALSE)</formula>
    </cfRule>
    <cfRule type="expression" dxfId="9483" priority="21750">
      <formula>IF($B35="Quoting",TRUE,FALSE)</formula>
    </cfRule>
    <cfRule type="expression" dxfId="9482" priority="21751">
      <formula>IF($B35="Quoting",TRUE,FALSE)</formula>
    </cfRule>
    <cfRule type="expression" dxfId="9481" priority="21752">
      <formula>IF($B35="Quoting",TRUE,FALSE)</formula>
    </cfRule>
    <cfRule type="expression" dxfId="9480" priority="21753">
      <formula>IF($B35="Quoting",TRUE,FALSE)</formula>
    </cfRule>
    <cfRule type="expression" dxfId="9479" priority="21754">
      <formula>IF($B35="Quoting",TRUE,FALSE)</formula>
    </cfRule>
    <cfRule type="expression" dxfId="9478" priority="21755">
      <formula>IF($B35="Quoting",TRUE,FALSE)</formula>
    </cfRule>
    <cfRule type="expression" dxfId="9477" priority="21756">
      <formula>IF($B35="Quoting",TRUE,FALSE)</formula>
    </cfRule>
    <cfRule type="expression" dxfId="9476" priority="21757">
      <formula>IF($B35="Quoting",TRUE,FALSE)</formula>
    </cfRule>
    <cfRule type="expression" dxfId="9475" priority="21758">
      <formula>IF($B35="Quoting",TRUE,FALSE)</formula>
    </cfRule>
    <cfRule type="expression" dxfId="9474" priority="21759">
      <formula>IF($B35="Quoting",TRUE,FALSE)</formula>
    </cfRule>
    <cfRule type="expression" dxfId="9473" priority="21760">
      <formula>IF($B35="Quoting",TRUE,FALSE)</formula>
    </cfRule>
    <cfRule type="expression" dxfId="9472" priority="21761">
      <formula>IF($B35="Quoting",TRUE,FALSE)</formula>
    </cfRule>
    <cfRule type="expression" dxfId="9471" priority="21762">
      <formula>IF($B35="Quoting",TRUE,FALSE)</formula>
    </cfRule>
    <cfRule type="expression" dxfId="9470" priority="21763">
      <formula>IF($B35="Quoting",TRUE,FALSE)</formula>
    </cfRule>
    <cfRule type="expression" dxfId="9469" priority="21764">
      <formula>IF($B35="Quoting",TRUE,FALSE)</formula>
    </cfRule>
    <cfRule type="expression" dxfId="9468" priority="21765">
      <formula>IF($B35="Quoting",TRUE,FALSE)</formula>
    </cfRule>
    <cfRule type="expression" dxfId="9467" priority="21766">
      <formula>IF($B35="Quoting",TRUE,FALSE)</formula>
    </cfRule>
    <cfRule type="expression" dxfId="9466" priority="21767">
      <formula>IF($B35="Quoting",TRUE,FALSE)</formula>
    </cfRule>
    <cfRule type="expression" dxfId="9465" priority="21768">
      <formula>IF($B35="Quoting",TRUE,FALSE)</formula>
    </cfRule>
    <cfRule type="expression" dxfId="9464" priority="21769">
      <formula>IF($B35="Quoting",TRUE,FALSE)</formula>
    </cfRule>
    <cfRule type="expression" dxfId="9463" priority="21770">
      <formula>IF($B35="Quoting",TRUE,FALSE)</formula>
    </cfRule>
    <cfRule type="expression" dxfId="9462" priority="21771">
      <formula>IF($B35="Quoting",TRUE,FALSE)</formula>
    </cfRule>
    <cfRule type="expression" dxfId="9461" priority="21772">
      <formula>IF($B35="Quoting",TRUE,FALSE)</formula>
    </cfRule>
    <cfRule type="expression" dxfId="9460" priority="21773">
      <formula>IF($B35="Quoting",TRUE,FALSE)</formula>
    </cfRule>
    <cfRule type="expression" dxfId="9459" priority="21774">
      <formula>IF($B35="Quoting",TRUE,FALSE)</formula>
    </cfRule>
    <cfRule type="expression" dxfId="9458" priority="21775">
      <formula>IF($B35="Quoting",TRUE,FALSE)</formula>
    </cfRule>
    <cfRule type="expression" dxfId="9457" priority="21776">
      <formula>IF($B35="Quoting",TRUE,FALSE)</formula>
    </cfRule>
    <cfRule type="expression" dxfId="9456" priority="21777">
      <formula>IF($B35="Quoting",TRUE,FALSE)</formula>
    </cfRule>
    <cfRule type="expression" dxfId="9455" priority="21778">
      <formula>IF($B35="Quoting",TRUE,FALSE)</formula>
    </cfRule>
    <cfRule type="expression" dxfId="9454" priority="21779">
      <formula>IF($B35="Quoting",TRUE,FALSE)</formula>
    </cfRule>
    <cfRule type="expression" dxfId="9453" priority="21780">
      <formula>IF($B35="Quoting",TRUE,FALSE)</formula>
    </cfRule>
    <cfRule type="expression" dxfId="9452" priority="21781">
      <formula>IF($B35="Quoting",TRUE,FALSE)</formula>
    </cfRule>
    <cfRule type="expression" dxfId="9451" priority="21782">
      <formula>IF($B35="Quoting",TRUE,FALSE)</formula>
    </cfRule>
    <cfRule type="expression" dxfId="9450" priority="21783">
      <formula>IF($B35="Quoting",TRUE,FALSE)</formula>
    </cfRule>
    <cfRule type="expression" dxfId="9449" priority="21784">
      <formula>IF($B35="Quoting",TRUE,FALSE)</formula>
    </cfRule>
    <cfRule type="expression" dxfId="9448" priority="21785">
      <formula>IF($B35="Quoting",TRUE,FALSE)</formula>
    </cfRule>
    <cfRule type="expression" dxfId="9447" priority="21786">
      <formula>IF($B35="Quoting",TRUE,FALSE)</formula>
    </cfRule>
    <cfRule type="expression" dxfId="9446" priority="21787">
      <formula>IF($B35="Quoting",TRUE,FALSE)</formula>
    </cfRule>
    <cfRule type="expression" dxfId="9445" priority="21788">
      <formula>IF($B35="Quoting",TRUE,FALSE)</formula>
    </cfRule>
    <cfRule type="expression" dxfId="9444" priority="21789">
      <formula>IF($B35="Quoting",TRUE,FALSE)</formula>
    </cfRule>
    <cfRule type="expression" dxfId="9443" priority="21790">
      <formula>IF($B35="Quoting",TRUE,FALSE)</formula>
    </cfRule>
    <cfRule type="expression" dxfId="9442" priority="21791">
      <formula>IF($B35="Quoting",TRUE,FALSE)</formula>
    </cfRule>
    <cfRule type="expression" dxfId="9441" priority="21792">
      <formula>IF($B35="Quoting",TRUE,FALSE)</formula>
    </cfRule>
    <cfRule type="expression" dxfId="9440" priority="21793">
      <formula>IF($B35="Quoting",TRUE,FALSE)</formula>
    </cfRule>
    <cfRule type="expression" dxfId="9439" priority="21794">
      <formula>IF($B35="Quoting",TRUE,FALSE)</formula>
    </cfRule>
    <cfRule type="expression" dxfId="9438" priority="21795">
      <formula>IF($B35="Quoting",TRUE,FALSE)</formula>
    </cfRule>
    <cfRule type="expression" dxfId="9437" priority="21796">
      <formula>IF($B35="Quoting",TRUE,FALSE)</formula>
    </cfRule>
    <cfRule type="expression" dxfId="9436" priority="21797">
      <formula>IF($B35="Quoting",TRUE,FALSE)</formula>
    </cfRule>
    <cfRule type="expression" dxfId="9435" priority="21798">
      <formula>IF($B35="Quoting",TRUE,FALSE)</formula>
    </cfRule>
    <cfRule type="expression" dxfId="9434" priority="21799">
      <formula>IF($B35="Quoting",TRUE,FALSE)</formula>
    </cfRule>
    <cfRule type="expression" dxfId="9433" priority="21800">
      <formula>IF($B35="Quoting",TRUE,FALSE)</formula>
    </cfRule>
    <cfRule type="expression" dxfId="9432" priority="21801">
      <formula>IF($B35="Quoting",TRUE,FALSE)</formula>
    </cfRule>
    <cfRule type="expression" dxfId="9431" priority="21802">
      <formula>IF($B35="Quoting",TRUE,FALSE)</formula>
    </cfRule>
    <cfRule type="expression" dxfId="9430" priority="21803">
      <formula>IF($B35="Quoting",TRUE,FALSE)</formula>
    </cfRule>
    <cfRule type="expression" dxfId="9429" priority="21804">
      <formula>IF($B35="Quoting",TRUE,FALSE)</formula>
    </cfRule>
    <cfRule type="expression" dxfId="9428" priority="21805">
      <formula>IF($B35="Quoting",TRUE,FALSE)</formula>
    </cfRule>
    <cfRule type="expression" dxfId="9427" priority="21806">
      <formula>IF($B35="Quoting",TRUE,FALSE)</formula>
    </cfRule>
    <cfRule type="expression" dxfId="9426" priority="21807">
      <formula>IF($B35="Quoting",TRUE,FALSE)</formula>
    </cfRule>
    <cfRule type="expression" dxfId="9425" priority="21808">
      <formula>IF($B35="Quoting",TRUE,FALSE)</formula>
    </cfRule>
    <cfRule type="expression" dxfId="9424" priority="21809">
      <formula>IF($B35="Quoting",TRUE,FALSE)</formula>
    </cfRule>
    <cfRule type="expression" dxfId="9423" priority="21810">
      <formula>IF($B35="Quoting",TRUE,FALSE)</formula>
    </cfRule>
    <cfRule type="expression" dxfId="9422" priority="21811">
      <formula>IF($B35="Quoting",TRUE,FALSE)</formula>
    </cfRule>
    <cfRule type="expression" dxfId="9421" priority="21812">
      <formula>IF($B35="Quoting",TRUE,FALSE)</formula>
    </cfRule>
    <cfRule type="expression" dxfId="9420" priority="21813">
      <formula>IF($B35="Quoting",TRUE,FALSE)</formula>
    </cfRule>
    <cfRule type="expression" dxfId="9419" priority="21814">
      <formula>IF($B35="Quoting",TRUE,FALSE)</formula>
    </cfRule>
    <cfRule type="expression" dxfId="9418" priority="21815">
      <formula>IF($B35="Quoting",TRUE,FALSE)</formula>
    </cfRule>
    <cfRule type="expression" dxfId="9417" priority="21816">
      <formula>IF($B35="Quoting",TRUE,FALSE)</formula>
    </cfRule>
    <cfRule type="expression" dxfId="9416" priority="21817">
      <formula>IF($B35="Quoting",TRUE,FALSE)</formula>
    </cfRule>
    <cfRule type="expression" dxfId="9415" priority="21818">
      <formula>IF($B35="Quoting",TRUE,FALSE)</formula>
    </cfRule>
    <cfRule type="expression" dxfId="9414" priority="21819">
      <formula>IF($B35="Quoting",TRUE,FALSE)</formula>
    </cfRule>
    <cfRule type="expression" dxfId="9413" priority="21820">
      <formula>IF($B35="Quoting",TRUE,FALSE)</formula>
    </cfRule>
    <cfRule type="expression" dxfId="9412" priority="21821">
      <formula>IF($B35="Quoting",TRUE,FALSE)</formula>
    </cfRule>
    <cfRule type="expression" dxfId="9411" priority="21822">
      <formula>IF($B35="Quoting",TRUE,FALSE)</formula>
    </cfRule>
    <cfRule type="expression" dxfId="9410" priority="21823">
      <formula>IF($B35="Quoting",TRUE,FALSE)</formula>
    </cfRule>
    <cfRule type="expression" dxfId="9409" priority="21824">
      <formula>IF($B35="Quoting",TRUE,FALSE)</formula>
    </cfRule>
    <cfRule type="expression" dxfId="9408" priority="21825">
      <formula>IF($B35="Quoting",TRUE,FALSE)</formula>
    </cfRule>
    <cfRule type="expression" dxfId="9407" priority="21826">
      <formula>IF($B35="Quoting",TRUE,FALSE)</formula>
    </cfRule>
    <cfRule type="expression" dxfId="9406" priority="21827">
      <formula>IF($B35="Quoting",TRUE,FALSE)</formula>
    </cfRule>
    <cfRule type="expression" dxfId="9405" priority="21828">
      <formula>IF($B35="Quoting",TRUE,FALSE)</formula>
    </cfRule>
    <cfRule type="expression" dxfId="9404" priority="21829">
      <formula>IF($B35="Quoting",TRUE,FALSE)</formula>
    </cfRule>
    <cfRule type="expression" dxfId="9403" priority="21830">
      <formula>IF($B35="Quoting",TRUE,FALSE)</formula>
    </cfRule>
    <cfRule type="expression" dxfId="9402" priority="21831">
      <formula>IF($B35="Quoting",TRUE,FALSE)</formula>
    </cfRule>
    <cfRule type="expression" dxfId="9401" priority="21832">
      <formula>IF($B35="Quoting",TRUE,FALSE)</formula>
    </cfRule>
    <cfRule type="expression" dxfId="9400" priority="21833">
      <formula>IF($B35="Quoting",TRUE,FALSE)</formula>
    </cfRule>
    <cfRule type="expression" dxfId="9399" priority="21834">
      <formula>IF($B35="Quoting",TRUE,FALSE)</formula>
    </cfRule>
    <cfRule type="expression" dxfId="9398" priority="21835">
      <formula>IF($B35="Quoting",TRUE,FALSE)</formula>
    </cfRule>
    <cfRule type="expression" dxfId="9397" priority="21836">
      <formula>IF($B35="Quoting",TRUE,FALSE)</formula>
    </cfRule>
    <cfRule type="expression" dxfId="9396" priority="21837">
      <formula>IF($B35="Quoting",TRUE,FALSE)</formula>
    </cfRule>
    <cfRule type="expression" dxfId="9395" priority="21838">
      <formula>IF($B35="Quoting",TRUE,FALSE)</formula>
    </cfRule>
    <cfRule type="expression" dxfId="9394" priority="21839">
      <formula>IF($B35="Quoting",TRUE,FALSE)</formula>
    </cfRule>
    <cfRule type="expression" dxfId="9393" priority="21840">
      <formula>IF($B35="Quoting",TRUE,FALSE)</formula>
    </cfRule>
    <cfRule type="expression" dxfId="9392" priority="21841">
      <formula>IF($B35="Quoting",TRUE,FALSE)</formula>
    </cfRule>
    <cfRule type="expression" dxfId="9391" priority="21842">
      <formula>IF($B35="Quoting",TRUE,FALSE)</formula>
    </cfRule>
    <cfRule type="expression" dxfId="9390" priority="21843">
      <formula>IF($B35="Quoting",TRUE,FALSE)</formula>
    </cfRule>
    <cfRule type="expression" dxfId="9389" priority="21844">
      <formula>IF($B35="Quoting",TRUE,FALSE)</formula>
    </cfRule>
    <cfRule type="expression" dxfId="9388" priority="21845">
      <formula>IF($B35="Quoting",TRUE,FALSE)</formula>
    </cfRule>
    <cfRule type="expression" dxfId="9387" priority="21846">
      <formula>IF($B35="Quoting",TRUE,FALSE)</formula>
    </cfRule>
    <cfRule type="expression" dxfId="9386" priority="21847">
      <formula>IF($B35="Quoting",TRUE,FALSE)</formula>
    </cfRule>
    <cfRule type="expression" dxfId="9385" priority="21848">
      <formula>IF($B35="Quoting",TRUE,FALSE)</formula>
    </cfRule>
    <cfRule type="expression" dxfId="9384" priority="21849">
      <formula>IF($B35="Quoting",TRUE,FALSE)</formula>
    </cfRule>
    <cfRule type="expression" dxfId="9383" priority="21850">
      <formula>IF($B35="Quoting",TRUE,FALSE)</formula>
    </cfRule>
    <cfRule type="expression" dxfId="9382" priority="21851">
      <formula>IF($B35="Quoting",TRUE,FALSE)</formula>
    </cfRule>
    <cfRule type="expression" dxfId="9381" priority="21852">
      <formula>IF($B35="Quoting",TRUE,FALSE)</formula>
    </cfRule>
    <cfRule type="expression" dxfId="9380" priority="21853">
      <formula>IF($B35="Quoting",TRUE,FALSE)</formula>
    </cfRule>
    <cfRule type="expression" dxfId="9379" priority="21854">
      <formula>IF($B35="Quoting",TRUE,FALSE)</formula>
    </cfRule>
    <cfRule type="expression" dxfId="9378" priority="21855">
      <formula>IF($B35="Quoting",TRUE,FALSE)</formula>
    </cfRule>
    <cfRule type="expression" dxfId="9377" priority="21856">
      <formula>IF($B35="Quoting",TRUE,FALSE)</formula>
    </cfRule>
    <cfRule type="expression" dxfId="9376" priority="21857">
      <formula>IF($B35="Quoting",TRUE,FALSE)</formula>
    </cfRule>
    <cfRule type="expression" dxfId="9375" priority="21858">
      <formula>IF($B35="Quoting",TRUE,FALSE)</formula>
    </cfRule>
    <cfRule type="expression" dxfId="9374" priority="21859">
      <formula>IF($B35="Quoting",TRUE,FALSE)</formula>
    </cfRule>
    <cfRule type="expression" dxfId="9373" priority="21860">
      <formula>IF($B35="Quoting",TRUE,FALSE)</formula>
    </cfRule>
    <cfRule type="expression" dxfId="9372" priority="21861">
      <formula>IF($B35="Quoting",TRUE,FALSE)</formula>
    </cfRule>
    <cfRule type="expression" dxfId="9371" priority="21862">
      <formula>IF($B35="Quoting",TRUE,FALSE)</formula>
    </cfRule>
    <cfRule type="expression" dxfId="9370" priority="21863">
      <formula>IF($B35="Quoting",TRUE,FALSE)</formula>
    </cfRule>
    <cfRule type="expression" dxfId="9369" priority="21864">
      <formula>IF($B35="Quoting",TRUE,FALSE)</formula>
    </cfRule>
    <cfRule type="expression" dxfId="9368" priority="21865">
      <formula>IF($B35="Quoting",TRUE,FALSE)</formula>
    </cfRule>
    <cfRule type="expression" dxfId="9367" priority="21866">
      <formula>IF($B35="Quoting",TRUE,FALSE)</formula>
    </cfRule>
    <cfRule type="expression" dxfId="9366" priority="21867">
      <formula>IF($B35="Quoting",TRUE,FALSE)</formula>
    </cfRule>
    <cfRule type="expression" dxfId="9365" priority="21868">
      <formula>IF($B35="Quoting",TRUE,FALSE)</formula>
    </cfRule>
    <cfRule type="expression" dxfId="9364" priority="21869">
      <formula>IF($B35="Quoting",TRUE,FALSE)</formula>
    </cfRule>
    <cfRule type="expression" dxfId="9363" priority="21870">
      <formula>IF($B35="Quoting",TRUE,FALSE)</formula>
    </cfRule>
    <cfRule type="expression" dxfId="9362" priority="21871">
      <formula>IF($B35="Quoting",TRUE,FALSE)</formula>
    </cfRule>
    <cfRule type="expression" dxfId="9361" priority="21872">
      <formula>IF($B35="Quoting",TRUE,FALSE)</formula>
    </cfRule>
    <cfRule type="expression" dxfId="9360" priority="21873">
      <formula>IF($B35="Quoting",TRUE,FALSE)</formula>
    </cfRule>
    <cfRule type="expression" dxfId="9359" priority="21874">
      <formula>IF($B35="Quoting",TRUE,FALSE)</formula>
    </cfRule>
    <cfRule type="expression" dxfId="9358" priority="21875">
      <formula>IF($B35="Quoting",TRUE,FALSE)</formula>
    </cfRule>
    <cfRule type="expression" dxfId="9357" priority="21876">
      <formula>IF($B35="Quoting",TRUE,FALSE)</formula>
    </cfRule>
    <cfRule type="expression" dxfId="9356" priority="21877">
      <formula>IF($B35="Quoting",TRUE,FALSE)</formula>
    </cfRule>
    <cfRule type="expression" dxfId="9355" priority="21878">
      <formula>IF($B35="Quoting",TRUE,FALSE)</formula>
    </cfRule>
    <cfRule type="expression" dxfId="9354" priority="21879">
      <formula>IF($B35="Quoting",TRUE,FALSE)</formula>
    </cfRule>
    <cfRule type="expression" dxfId="9353" priority="21880">
      <formula>IF($B35="Quoting",TRUE,FALSE)</formula>
    </cfRule>
    <cfRule type="expression" dxfId="9352" priority="21881">
      <formula>IF($B35="Quoting",TRUE,FALSE)</formula>
    </cfRule>
    <cfRule type="expression" dxfId="9351" priority="21882">
      <formula>IF($B35="Quoting",TRUE,FALSE)</formula>
    </cfRule>
    <cfRule type="expression" dxfId="9350" priority="21883">
      <formula>IF($B35="Quoting",TRUE,FALSE)</formula>
    </cfRule>
    <cfRule type="expression" dxfId="9349" priority="21884">
      <formula>IF($B35="Quoting",TRUE,FALSE)</formula>
    </cfRule>
    <cfRule type="expression" dxfId="9348" priority="21885">
      <formula>IF($B35="Quoting",TRUE,FALSE)</formula>
    </cfRule>
    <cfRule type="expression" dxfId="9347" priority="21886">
      <formula>IF($B35="Quoting",TRUE,FALSE)</formula>
    </cfRule>
    <cfRule type="expression" dxfId="9346" priority="21887">
      <formula>IF($B35="Quoting",TRUE,FALSE)</formula>
    </cfRule>
    <cfRule type="expression" dxfId="9345" priority="21888">
      <formula>IF($B35="Quoting",TRUE,FALSE)</formula>
    </cfRule>
    <cfRule type="expression" dxfId="9344" priority="21889">
      <formula>IF($B35="Quoting",TRUE,FALSE)</formula>
    </cfRule>
    <cfRule type="expression" dxfId="9343" priority="21890">
      <formula>IF($B35="Quoting",TRUE,FALSE)</formula>
    </cfRule>
    <cfRule type="expression" dxfId="9342" priority="21891">
      <formula>IF($B35="Quoting",TRUE,FALSE)</formula>
    </cfRule>
    <cfRule type="expression" dxfId="9341" priority="21892">
      <formula>IF($B35="Quoting",TRUE,FALSE)</formula>
    </cfRule>
    <cfRule type="expression" dxfId="9340" priority="21893">
      <formula>IF($B35="Quoting",TRUE,FALSE)</formula>
    </cfRule>
    <cfRule type="expression" dxfId="9339" priority="21894">
      <formula>IF($B35="Quoting",TRUE,FALSE)</formula>
    </cfRule>
    <cfRule type="expression" dxfId="9338" priority="21895">
      <formula>IF($B35="Quoting",TRUE,FALSE)</formula>
    </cfRule>
    <cfRule type="expression" dxfId="9337" priority="21896">
      <formula>IF($B35="Quoting",TRUE,FALSE)</formula>
    </cfRule>
    <cfRule type="expression" dxfId="9336" priority="21897">
      <formula>IF($B35="Quoting",TRUE,FALSE)</formula>
    </cfRule>
    <cfRule type="expression" dxfId="9335" priority="21898">
      <formula>IF($B35="Quoting",TRUE,FALSE)</formula>
    </cfRule>
    <cfRule type="expression" dxfId="9334" priority="21899">
      <formula>IF($B35="Quoting",TRUE,FALSE)</formula>
    </cfRule>
    <cfRule type="expression" dxfId="9333" priority="21900">
      <formula>IF($B35="Quoting",TRUE,FALSE)</formula>
    </cfRule>
    <cfRule type="expression" dxfId="9332" priority="21901">
      <formula>IF($B35="Quoting",TRUE,FALSE)</formula>
    </cfRule>
    <cfRule type="expression" dxfId="9331" priority="21902">
      <formula>IF($B35="Quoting",TRUE,FALSE)</formula>
    </cfRule>
    <cfRule type="expression" dxfId="9330" priority="21903">
      <formula>IF($B35="Quoting",TRUE,FALSE)</formula>
    </cfRule>
    <cfRule type="expression" dxfId="9329" priority="21904">
      <formula>IF($B35="Quoting",TRUE,FALSE)</formula>
    </cfRule>
    <cfRule type="expression" dxfId="9328" priority="21905">
      <formula>IF($B35="Quoting",TRUE,FALSE)</formula>
    </cfRule>
    <cfRule type="expression" dxfId="9327" priority="21906">
      <formula>IF($B35="Quoting",TRUE,FALSE)</formula>
    </cfRule>
    <cfRule type="expression" dxfId="9326" priority="21907">
      <formula>IF($B35="Quoting",TRUE,FALSE)</formula>
    </cfRule>
    <cfRule type="expression" dxfId="9325" priority="21908">
      <formula>IF($B35="Quoting",TRUE,FALSE)</formula>
    </cfRule>
    <cfRule type="expression" dxfId="9324" priority="21909">
      <formula>IF($B35="Quoting",TRUE,FALSE)</formula>
    </cfRule>
    <cfRule type="expression" dxfId="9323" priority="21910">
      <formula>IF($B35="Quoting",TRUE,FALSE)</formula>
    </cfRule>
    <cfRule type="expression" dxfId="9322" priority="21911">
      <formula>IF($B35="Quoting",TRUE,FALSE)</formula>
    </cfRule>
    <cfRule type="expression" dxfId="9321" priority="21912">
      <formula>IF($B35="Quoting",TRUE,FALSE)</formula>
    </cfRule>
    <cfRule type="expression" dxfId="9320" priority="21913">
      <formula>IF($B35="Quoting",TRUE,FALSE)</formula>
    </cfRule>
    <cfRule type="expression" dxfId="9319" priority="21914">
      <formula>IF($B35="Quoting",TRUE,FALSE)</formula>
    </cfRule>
    <cfRule type="expression" dxfId="9318" priority="21915">
      <formula>IF($B35="Quoting",TRUE,FALSE)</formula>
    </cfRule>
    <cfRule type="expression" dxfId="9317" priority="21916">
      <formula>IF($B35="Quoting",TRUE,FALSE)</formula>
    </cfRule>
    <cfRule type="expression" dxfId="9316" priority="21917">
      <formula>IF($B35="Quoting",TRUE,FALSE)</formula>
    </cfRule>
    <cfRule type="expression" dxfId="9315" priority="21918">
      <formula>IF($B35="Quoting",TRUE,FALSE)</formula>
    </cfRule>
    <cfRule type="expression" dxfId="9314" priority="21919">
      <formula>IF($B35="Quoting",TRUE,FALSE)</formula>
    </cfRule>
    <cfRule type="expression" dxfId="9313" priority="21920">
      <formula>IF($B35="Quoting",TRUE,FALSE)</formula>
    </cfRule>
    <cfRule type="expression" dxfId="9312" priority="21921">
      <formula>IF($B35="Quoting",TRUE,FALSE)</formula>
    </cfRule>
    <cfRule type="expression" dxfId="9311" priority="21922">
      <formula>IF($B35="Quoting",TRUE,FALSE)</formula>
    </cfRule>
    <cfRule type="expression" dxfId="9310" priority="21923">
      <formula>IF($B35="Quoting",TRUE,FALSE)</formula>
    </cfRule>
    <cfRule type="expression" dxfId="9309" priority="21924">
      <formula>IF($B35="Quoting",TRUE,FALSE)</formula>
    </cfRule>
    <cfRule type="expression" dxfId="9308" priority="21925">
      <formula>IF($B35="Quoting",TRUE,FALSE)</formula>
    </cfRule>
    <cfRule type="expression" dxfId="9307" priority="21926">
      <formula>IF($B35="Quoting",TRUE,FALSE)</formula>
    </cfRule>
    <cfRule type="expression" dxfId="9306" priority="21927">
      <formula>IF($B35="Quoting",TRUE,FALSE)</formula>
    </cfRule>
    <cfRule type="expression" dxfId="9305" priority="21928">
      <formula>IF($B35="Quoting",TRUE,FALSE)</formula>
    </cfRule>
    <cfRule type="expression" dxfId="9304" priority="21929">
      <formula>IF($B35="Quoting",TRUE,FALSE)</formula>
    </cfRule>
    <cfRule type="expression" dxfId="9303" priority="21930">
      <formula>IF($B35="Quoting",TRUE,FALSE)</formula>
    </cfRule>
    <cfRule type="expression" dxfId="9302" priority="21931">
      <formula>IF($B35="Quoting",TRUE,FALSE)</formula>
    </cfRule>
    <cfRule type="expression" dxfId="9301" priority="21932">
      <formula>IF($B35="Quoting",TRUE,FALSE)</formula>
    </cfRule>
    <cfRule type="expression" dxfId="9300" priority="21933">
      <formula>IF($B35="Quoting",TRUE,FALSE)</formula>
    </cfRule>
    <cfRule type="expression" dxfId="9299" priority="21934">
      <formula>IF($B35="Quoting",TRUE,FALSE)</formula>
    </cfRule>
    <cfRule type="expression" dxfId="9298" priority="21935">
      <formula>IF($B35="Quoting",TRUE,FALSE)</formula>
    </cfRule>
    <cfRule type="expression" dxfId="9297" priority="21936">
      <formula>IF($B35="Quoting",TRUE,FALSE)</formula>
    </cfRule>
    <cfRule type="expression" dxfId="9296" priority="21937">
      <formula>IF($B35="Quoting",TRUE,FALSE)</formula>
    </cfRule>
    <cfRule type="expression" dxfId="9295" priority="21938">
      <formula>IF($B35="Quoting",TRUE,FALSE)</formula>
    </cfRule>
    <cfRule type="expression" dxfId="9294" priority="21939">
      <formula>IF($B35="Quoting",TRUE,FALSE)</formula>
    </cfRule>
    <cfRule type="expression" dxfId="9293" priority="21940">
      <formula>IF($B35="Quoting",TRUE,FALSE)</formula>
    </cfRule>
    <cfRule type="expression" dxfId="9292" priority="21941">
      <formula>IF($B35="Quoting",TRUE,FALSE)</formula>
    </cfRule>
    <cfRule type="expression" dxfId="9291" priority="21942">
      <formula>IF($B35="Quoting",TRUE,FALSE)</formula>
    </cfRule>
    <cfRule type="expression" dxfId="9290" priority="21943">
      <formula>IF($B35="Quoting",TRUE,FALSE)</formula>
    </cfRule>
    <cfRule type="expression" dxfId="9289" priority="21944">
      <formula>IF($B35="Quoting",TRUE,FALSE)</formula>
    </cfRule>
    <cfRule type="expression" dxfId="9288" priority="21945">
      <formula>IF($B35="Quoting",TRUE,FALSE)</formula>
    </cfRule>
    <cfRule type="expression" dxfId="9287" priority="21946">
      <formula>IF($B35="Quoting",TRUE,FALSE)</formula>
    </cfRule>
    <cfRule type="expression" dxfId="9286" priority="21947">
      <formula>IF($B35="Quoting",TRUE,FALSE)</formula>
    </cfRule>
    <cfRule type="expression" dxfId="9285" priority="21948">
      <formula>IF($B35="Quoting",TRUE,FALSE)</formula>
    </cfRule>
    <cfRule type="expression" dxfId="9284" priority="21949">
      <formula>IF($B35="Quoting",TRUE,FALSE)</formula>
    </cfRule>
    <cfRule type="expression" dxfId="9283" priority="21950">
      <formula>IF($B35="Quoting",TRUE,FALSE)</formula>
    </cfRule>
    <cfRule type="expression" dxfId="9282" priority="21951">
      <formula>IF($B35="Quoting",TRUE,FALSE)</formula>
    </cfRule>
    <cfRule type="expression" dxfId="9281" priority="21952">
      <formula>IF($B35="Quoting",TRUE,FALSE)</formula>
    </cfRule>
    <cfRule type="expression" dxfId="9280" priority="21953">
      <formula>IF($B35="Quoting",TRUE,FALSE)</formula>
    </cfRule>
    <cfRule type="expression" dxfId="9279" priority="21954">
      <formula>IF($B35="Quoting",TRUE,FALSE)</formula>
    </cfRule>
    <cfRule type="expression" dxfId="9278" priority="21955">
      <formula>IF($B35="Quoting",TRUE,FALSE)</formula>
    </cfRule>
    <cfRule type="expression" dxfId="9277" priority="21956">
      <formula>IF($B35="Quoting",TRUE,FALSE)</formula>
    </cfRule>
    <cfRule type="expression" dxfId="9276" priority="21957">
      <formula>IF($B35="Quoting",TRUE,FALSE)</formula>
    </cfRule>
    <cfRule type="expression" dxfId="9275" priority="21958">
      <formula>IF($B35="Quoting",TRUE,FALSE)</formula>
    </cfRule>
    <cfRule type="expression" dxfId="9274" priority="21959">
      <formula>IF($B35="Quoting",TRUE,FALSE)</formula>
    </cfRule>
    <cfRule type="expression" dxfId="9273" priority="21960">
      <formula>IF($B35="Quoting",TRUE,FALSE)</formula>
    </cfRule>
    <cfRule type="expression" dxfId="9272" priority="21961">
      <formula>IF($B35="Quoting",TRUE,FALSE)</formula>
    </cfRule>
    <cfRule type="expression" dxfId="9271" priority="21962">
      <formula>IF($B35="Quoting",TRUE,FALSE)</formula>
    </cfRule>
    <cfRule type="expression" dxfId="9270" priority="21963">
      <formula>IF($B35="Quoting",TRUE,FALSE)</formula>
    </cfRule>
    <cfRule type="expression" dxfId="9269" priority="21964">
      <formula>IF($B35="Quoting",TRUE,FALSE)</formula>
    </cfRule>
    <cfRule type="expression" dxfId="9268" priority="21965">
      <formula>IF($B35="Quoting",TRUE,FALSE)</formula>
    </cfRule>
    <cfRule type="expression" dxfId="9267" priority="21966">
      <formula>IF($B35="Quoting",TRUE,FALSE)</formula>
    </cfRule>
    <cfRule type="expression" dxfId="9266" priority="21967">
      <formula>IF($B35="Quoting",TRUE,FALSE)</formula>
    </cfRule>
    <cfRule type="expression" dxfId="9265" priority="21968">
      <formula>IF($B35="Quoting",TRUE,FALSE)</formula>
    </cfRule>
    <cfRule type="expression" dxfId="9264" priority="21969">
      <formula>IF($B35="Quoting",TRUE,FALSE)</formula>
    </cfRule>
    <cfRule type="expression" dxfId="9263" priority="21970">
      <formula>IF($B35="Quoting",TRUE,FALSE)</formula>
    </cfRule>
    <cfRule type="expression" dxfId="9262" priority="21971">
      <formula>IF($B35="Quoting",TRUE,FALSE)</formula>
    </cfRule>
    <cfRule type="expression" dxfId="9261" priority="21972">
      <formula>IF($B35="Quoting",TRUE,FALSE)</formula>
    </cfRule>
    <cfRule type="expression" dxfId="9260" priority="21973">
      <formula>IF($B35="Quoting",TRUE,FALSE)</formula>
    </cfRule>
    <cfRule type="expression" dxfId="9259" priority="21974">
      <formula>IF($B35="Quoting",TRUE,FALSE)</formula>
    </cfRule>
    <cfRule type="expression" dxfId="9258" priority="21975">
      <formula>IF($B35="Quoting",TRUE,FALSE)</formula>
    </cfRule>
    <cfRule type="expression" dxfId="9257" priority="21976">
      <formula>IF($B35="Quoting",TRUE,FALSE)</formula>
    </cfRule>
    <cfRule type="expression" dxfId="9256" priority="21977">
      <formula>IF($B35="Quoting",TRUE,FALSE)</formula>
    </cfRule>
    <cfRule type="expression" dxfId="9255" priority="21978">
      <formula>IF($B35="Quoting",TRUE,FALSE)</formula>
    </cfRule>
    <cfRule type="expression" dxfId="9254" priority="21979">
      <formula>IF($B35="Quoting",TRUE,FALSE)</formula>
    </cfRule>
    <cfRule type="expression" dxfId="9253" priority="21980">
      <formula>IF($B35="Quoting",TRUE,FALSE)</formula>
    </cfRule>
    <cfRule type="expression" dxfId="9252" priority="21981">
      <formula>IF($B35="Quoting",TRUE,FALSE)</formula>
    </cfRule>
    <cfRule type="expression" dxfId="9251" priority="21982">
      <formula>IF($B35="Quoting",TRUE,FALSE)</formula>
    </cfRule>
    <cfRule type="expression" dxfId="9250" priority="21983">
      <formula>IF($B35="Quoting",TRUE,FALSE)</formula>
    </cfRule>
    <cfRule type="expression" dxfId="9249" priority="21984">
      <formula>IF($B35="Quoting",TRUE,FALSE)</formula>
    </cfRule>
    <cfRule type="expression" dxfId="9248" priority="21985">
      <formula>IF($B35="Quoting",TRUE,FALSE)</formula>
    </cfRule>
    <cfRule type="expression" dxfId="9247" priority="21986">
      <formula>IF($B35="Quoting",TRUE,FALSE)</formula>
    </cfRule>
    <cfRule type="expression" dxfId="9246" priority="21987">
      <formula>IF($B35="Quoting",TRUE,FALSE)</formula>
    </cfRule>
    <cfRule type="expression" dxfId="9245" priority="21988">
      <formula>IF($B35="Quoting",TRUE,FALSE)</formula>
    </cfRule>
    <cfRule type="expression" dxfId="9244" priority="21989">
      <formula>IF($B35="Quoting",TRUE,FALSE)</formula>
    </cfRule>
    <cfRule type="expression" dxfId="9243" priority="21990">
      <formula>IF($B35="Quoting",TRUE,FALSE)</formula>
    </cfRule>
    <cfRule type="expression" dxfId="9242" priority="21991">
      <formula>IF($B35="Quoting",TRUE,FALSE)</formula>
    </cfRule>
    <cfRule type="expression" dxfId="9241" priority="21992">
      <formula>IF($B35="Quoting",TRUE,FALSE)</formula>
    </cfRule>
    <cfRule type="expression" dxfId="9240" priority="21993">
      <formula>IF($B35="Quoting",TRUE,FALSE)</formula>
    </cfRule>
    <cfRule type="expression" dxfId="9239" priority="21994">
      <formula>IF($B35="Quoting",TRUE,FALSE)</formula>
    </cfRule>
    <cfRule type="expression" dxfId="9238" priority="21995">
      <formula>IF($B35="Quoting",TRUE,FALSE)</formula>
    </cfRule>
    <cfRule type="expression" dxfId="9237" priority="21996">
      <formula>IF($B35="Quoting",TRUE,FALSE)</formula>
    </cfRule>
    <cfRule type="expression" dxfId="9236" priority="21997">
      <formula>IF($B35="Quoting",TRUE,FALSE)</formula>
    </cfRule>
    <cfRule type="expression" dxfId="9235" priority="21998">
      <formula>IF($B35="Quoting",TRUE,FALSE)</formula>
    </cfRule>
    <cfRule type="expression" dxfId="9234" priority="21999">
      <formula>IF($B35="Quoting",TRUE,FALSE)</formula>
    </cfRule>
    <cfRule type="expression" dxfId="9233" priority="22000">
      <formula>IF($B35="Quoting",TRUE,FALSE)</formula>
    </cfRule>
    <cfRule type="expression" dxfId="9232" priority="22001">
      <formula>IF($B35="Quoting",TRUE,FALSE)</formula>
    </cfRule>
    <cfRule type="expression" dxfId="9231" priority="22002">
      <formula>IF($B35="Quoting",TRUE,FALSE)</formula>
    </cfRule>
    <cfRule type="expression" dxfId="9230" priority="22003">
      <formula>IF($B35="Quoting",TRUE,FALSE)</formula>
    </cfRule>
    <cfRule type="expression" dxfId="9229" priority="22004">
      <formula>IF($B35="Quoting",TRUE,FALSE)</formula>
    </cfRule>
    <cfRule type="expression" dxfId="9228" priority="22005">
      <formula>IF($B35="Quoting",TRUE,FALSE)</formula>
    </cfRule>
    <cfRule type="expression" dxfId="9227" priority="22006">
      <formula>IF($B35="Quoting",TRUE,FALSE)</formula>
    </cfRule>
    <cfRule type="expression" dxfId="9226" priority="22007">
      <formula>IF($B35="Quoting",TRUE,FALSE)</formula>
    </cfRule>
    <cfRule type="expression" dxfId="9225" priority="22008">
      <formula>IF($B35="Quoting",TRUE,FALSE)</formula>
    </cfRule>
    <cfRule type="expression" dxfId="9224" priority="22009">
      <formula>IF($B35="Quoting",TRUE,FALSE)</formula>
    </cfRule>
    <cfRule type="expression" dxfId="9223" priority="22010">
      <formula>IF($B35="Quoting",TRUE,FALSE)</formula>
    </cfRule>
    <cfRule type="expression" dxfId="9222" priority="22011">
      <formula>IF($B35="Quoting",TRUE,FALSE)</formula>
    </cfRule>
    <cfRule type="expression" dxfId="9221" priority="22012">
      <formula>IF($B35="Quoting",TRUE,FALSE)</formula>
    </cfRule>
    <cfRule type="expression" dxfId="9220" priority="22013">
      <formula>IF($B35="Quoting",TRUE,FALSE)</formula>
    </cfRule>
    <cfRule type="expression" dxfId="9219" priority="22014">
      <formula>IF($B35="Quoting",TRUE,FALSE)</formula>
    </cfRule>
    <cfRule type="expression" dxfId="9218" priority="22015">
      <formula>IF($B35="Quoting",TRUE,FALSE)</formula>
    </cfRule>
    <cfRule type="expression" dxfId="9217" priority="22016">
      <formula>IF($B35="Quoting",TRUE,FALSE)</formula>
    </cfRule>
    <cfRule type="expression" dxfId="9216" priority="22017">
      <formula>IF($B35="Quoting",TRUE,FALSE)</formula>
    </cfRule>
    <cfRule type="expression" dxfId="9215" priority="22018">
      <formula>IF($B35="Quoting",TRUE,FALSE)</formula>
    </cfRule>
    <cfRule type="expression" dxfId="9214" priority="22019">
      <formula>IF($B35="Quoting",TRUE,FALSE)</formula>
    </cfRule>
    <cfRule type="expression" dxfId="9213" priority="22020">
      <formula>IF($B35="Quoting",TRUE,FALSE)</formula>
    </cfRule>
    <cfRule type="expression" dxfId="9212" priority="22021">
      <formula>IF($B35="Quoting",TRUE,FALSE)</formula>
    </cfRule>
    <cfRule type="expression" dxfId="9211" priority="22022">
      <formula>IF($B35="Quoting",TRUE,FALSE)</formula>
    </cfRule>
    <cfRule type="expression" dxfId="9210" priority="22023">
      <formula>IF($B35="Quoting",TRUE,FALSE)</formula>
    </cfRule>
    <cfRule type="expression" dxfId="9209" priority="22024">
      <formula>IF($B35="Quoting",TRUE,FALSE)</formula>
    </cfRule>
    <cfRule type="expression" dxfId="9208" priority="22025">
      <formula>IF($B35="Quoting",TRUE,FALSE)</formula>
    </cfRule>
    <cfRule type="expression" dxfId="9207" priority="22026">
      <formula>IF($B35="Quoting",TRUE,FALSE)</formula>
    </cfRule>
    <cfRule type="expression" dxfId="9206" priority="22027">
      <formula>IF($B35="Quoting",TRUE,FALSE)</formula>
    </cfRule>
    <cfRule type="expression" dxfId="9205" priority="22028">
      <formula>IF($B35="Quoting",TRUE,FALSE)</formula>
    </cfRule>
    <cfRule type="expression" dxfId="9204" priority="22029">
      <formula>IF($B35="Quoting",TRUE,FALSE)</formula>
    </cfRule>
    <cfRule type="expression" dxfId="9203" priority="22030">
      <formula>IF($B35="Quoting",TRUE,FALSE)</formula>
    </cfRule>
    <cfRule type="expression" dxfId="9202" priority="22031">
      <formula>IF($B35="Quoting",TRUE,FALSE)</formula>
    </cfRule>
    <cfRule type="expression" dxfId="9201" priority="22032">
      <formula>IF($B35="Quoting",TRUE,FALSE)</formula>
    </cfRule>
    <cfRule type="expression" dxfId="9200" priority="22033">
      <formula>IF($B35="Quoting",TRUE,FALSE)</formula>
    </cfRule>
    <cfRule type="expression" dxfId="9199" priority="22034">
      <formula>IF($B35="Quoting",TRUE,FALSE)</formula>
    </cfRule>
    <cfRule type="expression" dxfId="9198" priority="22035">
      <formula>IF($B35="Quoting",TRUE,FALSE)</formula>
    </cfRule>
    <cfRule type="expression" dxfId="9197" priority="22036">
      <formula>IF($B35="Quoting",TRUE,FALSE)</formula>
    </cfRule>
    <cfRule type="expression" dxfId="9196" priority="22037">
      <formula>IF($B35="Quoting",TRUE,FALSE)</formula>
    </cfRule>
    <cfRule type="expression" dxfId="9195" priority="22038">
      <formula>IF($B35="Quoting",TRUE,FALSE)</formula>
    </cfRule>
    <cfRule type="expression" dxfId="9194" priority="22039">
      <formula>IF($B35="Quoting",TRUE,FALSE)</formula>
    </cfRule>
    <cfRule type="expression" dxfId="9193" priority="22040">
      <formula>IF($B35="Quoting",TRUE,FALSE)</formula>
    </cfRule>
    <cfRule type="expression" dxfId="9192" priority="22041">
      <formula>IF($B35="Quoting",TRUE,FALSE)</formula>
    </cfRule>
    <cfRule type="expression" dxfId="9191" priority="22042">
      <formula>IF($B35="Quoting",TRUE,FALSE)</formula>
    </cfRule>
    <cfRule type="expression" dxfId="9190" priority="22043">
      <formula>IF($B35="Quoting",TRUE,FALSE)</formula>
    </cfRule>
    <cfRule type="expression" dxfId="9189" priority="22044">
      <formula>IF($B35="Quoting",TRUE,FALSE)</formula>
    </cfRule>
    <cfRule type="expression" dxfId="9188" priority="22045">
      <formula>IF($B35="Quoting",TRUE,FALSE)</formula>
    </cfRule>
    <cfRule type="expression" dxfId="9187" priority="22046">
      <formula>IF($B35="Quoting",TRUE,FALSE)</formula>
    </cfRule>
    <cfRule type="expression" dxfId="9186" priority="22047">
      <formula>IF($B35="Quoting",TRUE,FALSE)</formula>
    </cfRule>
    <cfRule type="expression" dxfId="9185" priority="22048">
      <formula>IF($B35="Quoting",TRUE,FALSE)</formula>
    </cfRule>
    <cfRule type="expression" dxfId="9184" priority="22049">
      <formula>IF($B35="Quoting",TRUE,FALSE)</formula>
    </cfRule>
    <cfRule type="expression" dxfId="9183" priority="22050">
      <formula>IF($B35="Quoting",TRUE,FALSE)</formula>
    </cfRule>
    <cfRule type="expression" dxfId="9182" priority="22051">
      <formula>IF($B35="Quoting",TRUE,FALSE)</formula>
    </cfRule>
    <cfRule type="expression" dxfId="9181" priority="22052">
      <formula>IF($B35="Quoting",TRUE,FALSE)</formula>
    </cfRule>
    <cfRule type="expression" dxfId="9180" priority="22053">
      <formula>IF($B35="Quoting",TRUE,FALSE)</formula>
    </cfRule>
    <cfRule type="expression" dxfId="9179" priority="22054">
      <formula>IF($B35="Quoting",TRUE,FALSE)</formula>
    </cfRule>
    <cfRule type="expression" dxfId="9178" priority="22055">
      <formula>IF($B35="Quoting",TRUE,FALSE)</formula>
    </cfRule>
    <cfRule type="expression" dxfId="9177" priority="22056">
      <formula>IF($B35="Quoting",TRUE,FALSE)</formula>
    </cfRule>
    <cfRule type="expression" dxfId="9176" priority="22057">
      <formula>IF($B35="Quoting",TRUE,FALSE)</formula>
    </cfRule>
    <cfRule type="expression" dxfId="9175" priority="22058">
      <formula>IF($B35="Quoting",TRUE,FALSE)</formula>
    </cfRule>
    <cfRule type="expression" dxfId="9174" priority="22059">
      <formula>IF($B35="Quoting",TRUE,FALSE)</formula>
    </cfRule>
    <cfRule type="expression" dxfId="9173" priority="22060">
      <formula>IF($B35="Quoting",TRUE,FALSE)</formula>
    </cfRule>
    <cfRule type="expression" dxfId="9172" priority="22061">
      <formula>IF($B35="Quoting",TRUE,FALSE)</formula>
    </cfRule>
    <cfRule type="expression" dxfId="9171" priority="22062">
      <formula>IF($B35="Quoting",TRUE,FALSE)</formula>
    </cfRule>
    <cfRule type="expression" dxfId="9170" priority="22063">
      <formula>IF($B35="Quoting",TRUE,FALSE)</formula>
    </cfRule>
    <cfRule type="expression" dxfId="9169" priority="22064">
      <formula>IF($B35="Quoting",TRUE,FALSE)</formula>
    </cfRule>
    <cfRule type="expression" dxfId="9168" priority="22065">
      <formula>IF($B35="Quoting",TRUE,FALSE)</formula>
    </cfRule>
    <cfRule type="expression" dxfId="9167" priority="22066">
      <formula>IF($B35="Quoting",TRUE,FALSE)</formula>
    </cfRule>
    <cfRule type="expression" dxfId="9166" priority="22067">
      <formula>IF($B35="Quoting",TRUE,FALSE)</formula>
    </cfRule>
    <cfRule type="expression" dxfId="9165" priority="22068">
      <formula>IF($B35="Quoting",TRUE,FALSE)</formula>
    </cfRule>
    <cfRule type="expression" dxfId="9164" priority="22069">
      <formula>IF($B35="Quoting",TRUE,FALSE)</formula>
    </cfRule>
    <cfRule type="expression" dxfId="9163" priority="22070">
      <formula>IF($B35="Quoting",TRUE,FALSE)</formula>
    </cfRule>
    <cfRule type="expression" dxfId="9162" priority="22071">
      <formula>IF($B35="Quoting",TRUE,FALSE)</formula>
    </cfRule>
    <cfRule type="expression" dxfId="9161" priority="22072">
      <formula>IF($B35="Quoting",TRUE,FALSE)</formula>
    </cfRule>
    <cfRule type="expression" dxfId="9160" priority="22073">
      <formula>IF($B35="Quoting",TRUE,FALSE)</formula>
    </cfRule>
    <cfRule type="expression" dxfId="9159" priority="22074">
      <formula>IF($B35="Quoting",TRUE,FALSE)</formula>
    </cfRule>
    <cfRule type="expression" dxfId="9158" priority="22075">
      <formula>IF($B35="Quoting",TRUE,FALSE)</formula>
    </cfRule>
    <cfRule type="expression" dxfId="9157" priority="22076">
      <formula>IF($B35="Quoting",TRUE,FALSE)</formula>
    </cfRule>
    <cfRule type="expression" dxfId="9156" priority="22077">
      <formula>IF($B35="Quoting",TRUE,FALSE)</formula>
    </cfRule>
    <cfRule type="expression" dxfId="9155" priority="22078">
      <formula>IF($B35="Quoting",TRUE,FALSE)</formula>
    </cfRule>
    <cfRule type="expression" dxfId="9154" priority="22079">
      <formula>IF($B35="Quoting",TRUE,FALSE)</formula>
    </cfRule>
    <cfRule type="expression" dxfId="9153" priority="22080">
      <formula>IF($B35="Quoting",TRUE,FALSE)</formula>
    </cfRule>
    <cfRule type="expression" dxfId="9152" priority="22081">
      <formula>IF($B35="Quoting",TRUE,FALSE)</formula>
    </cfRule>
    <cfRule type="expression" dxfId="9151" priority="22082">
      <formula>IF($B35="Quoting",TRUE,FALSE)</formula>
    </cfRule>
    <cfRule type="expression" dxfId="9150" priority="22083">
      <formula>IF($B35="Quoting",TRUE,FALSE)</formula>
    </cfRule>
    <cfRule type="expression" dxfId="9149" priority="22084">
      <formula>IF($B35="Quoting",TRUE,FALSE)</formula>
    </cfRule>
    <cfRule type="expression" dxfId="9148" priority="22085">
      <formula>IF($B35="Quoting",TRUE,FALSE)</formula>
    </cfRule>
    <cfRule type="expression" dxfId="9147" priority="22086">
      <formula>IF($B35="Quoting",TRUE,FALSE)</formula>
    </cfRule>
    <cfRule type="expression" dxfId="9146" priority="22087">
      <formula>IF($B35="Quoting",TRUE,FALSE)</formula>
    </cfRule>
    <cfRule type="expression" dxfId="9145" priority="22088">
      <formula>IF($B35="Quoting",TRUE,FALSE)</formula>
    </cfRule>
    <cfRule type="expression" dxfId="9144" priority="22089">
      <formula>IF($B35="Quoting",TRUE,FALSE)</formula>
    </cfRule>
    <cfRule type="expression" dxfId="9143" priority="22090">
      <formula>IF($B35="Quoting",TRUE,FALSE)</formula>
    </cfRule>
    <cfRule type="expression" dxfId="9142" priority="22091">
      <formula>IF($B35="Quoting",TRUE,FALSE)</formula>
    </cfRule>
    <cfRule type="expression" dxfId="9141" priority="22092">
      <formula>IF($B35="Quoting",TRUE,FALSE)</formula>
    </cfRule>
    <cfRule type="expression" dxfId="9140" priority="22093">
      <formula>IF($B35="Quoting",TRUE,FALSE)</formula>
    </cfRule>
    <cfRule type="expression" dxfId="9139" priority="22094">
      <formula>IF($B35="Quoting",TRUE,FALSE)</formula>
    </cfRule>
    <cfRule type="expression" dxfId="9138" priority="22095">
      <formula>IF($B35="Quoting",TRUE,FALSE)</formula>
    </cfRule>
    <cfRule type="expression" dxfId="9137" priority="22096">
      <formula>IF($B35="Quoting",TRUE,FALSE)</formula>
    </cfRule>
    <cfRule type="expression" dxfId="9136" priority="22097">
      <formula>IF($B35="Quoting",TRUE,FALSE)</formula>
    </cfRule>
    <cfRule type="expression" dxfId="9135" priority="22098">
      <formula>IF($B35="Quoting",TRUE,FALSE)</formula>
    </cfRule>
    <cfRule type="expression" dxfId="9134" priority="22099">
      <formula>IF($B35="Quoting",TRUE,FALSE)</formula>
    </cfRule>
    <cfRule type="expression" dxfId="9133" priority="22100">
      <formula>IF($B35="Quoting",TRUE,FALSE)</formula>
    </cfRule>
    <cfRule type="expression" dxfId="9132" priority="22101">
      <formula>IF($B35="Quoting",TRUE,FALSE)</formula>
    </cfRule>
    <cfRule type="expression" dxfId="9131" priority="22102">
      <formula>IF($B35="Quoting",TRUE,FALSE)</formula>
    </cfRule>
    <cfRule type="expression" dxfId="9130" priority="22103">
      <formula>IF($B35="Quoting",TRUE,FALSE)</formula>
    </cfRule>
    <cfRule type="expression" dxfId="9129" priority="22104">
      <formula>IF($B35="Quoting",TRUE,FALSE)</formula>
    </cfRule>
    <cfRule type="expression" dxfId="9128" priority="22105">
      <formula>IF($B35="Quoting",TRUE,FALSE)</formula>
    </cfRule>
    <cfRule type="expression" dxfId="9127" priority="22106">
      <formula>IF($B35="Quoting",TRUE,FALSE)</formula>
    </cfRule>
    <cfRule type="expression" dxfId="9126" priority="22107">
      <formula>IF($B35="Quoting",TRUE,FALSE)</formula>
    </cfRule>
    <cfRule type="expression" dxfId="9125" priority="22108">
      <formula>IF($B35="Quoting",TRUE,FALSE)</formula>
    </cfRule>
    <cfRule type="expression" dxfId="9124" priority="22109">
      <formula>IF($B35="Quoting",TRUE,FALSE)</formula>
    </cfRule>
    <cfRule type="expression" dxfId="9123" priority="22110">
      <formula>IF($B35="Quoting",TRUE,FALSE)</formula>
    </cfRule>
    <cfRule type="expression" dxfId="9122" priority="22111">
      <formula>IF($B35="Quoting",TRUE,FALSE)</formula>
    </cfRule>
    <cfRule type="expression" dxfId="9121" priority="22112">
      <formula>IF($B35="Quoting",TRUE,FALSE)</formula>
    </cfRule>
    <cfRule type="expression" dxfId="9120" priority="22113">
      <formula>IF($B35="Quoting",TRUE,FALSE)</formula>
    </cfRule>
    <cfRule type="expression" dxfId="9119" priority="22114">
      <formula>IF($B35="Quoting",TRUE,FALSE)</formula>
    </cfRule>
    <cfRule type="expression" dxfId="9118" priority="22115">
      <formula>IF($B35="Quoting",TRUE,FALSE)</formula>
    </cfRule>
    <cfRule type="expression" dxfId="9117" priority="22116">
      <formula>IF($B35="Quoting",TRUE,FALSE)</formula>
    </cfRule>
    <cfRule type="expression" dxfId="9116" priority="22117">
      <formula>IF($B35="Quoting",TRUE,FALSE)</formula>
    </cfRule>
    <cfRule type="expression" dxfId="9115" priority="22118">
      <formula>IF($B35="Quoting",TRUE,FALSE)</formula>
    </cfRule>
    <cfRule type="expression" dxfId="9114" priority="22119">
      <formula>IF($B35="Quoting",TRUE,FALSE)</formula>
    </cfRule>
    <cfRule type="expression" dxfId="9113" priority="22120">
      <formula>IF($B35="Quoting",TRUE,FALSE)</formula>
    </cfRule>
    <cfRule type="expression" dxfId="9112" priority="22121">
      <formula>IF($B35="Quoting",TRUE,FALSE)</formula>
    </cfRule>
    <cfRule type="expression" dxfId="9111" priority="22122">
      <formula>IF($B35="Quoting",TRUE,FALSE)</formula>
    </cfRule>
    <cfRule type="expression" dxfId="9110" priority="22123">
      <formula>IF($B35="Quoting",TRUE,FALSE)</formula>
    </cfRule>
    <cfRule type="expression" dxfId="9109" priority="22124">
      <formula>IF($B35="Quoting",TRUE,FALSE)</formula>
    </cfRule>
    <cfRule type="expression" dxfId="9108" priority="22125">
      <formula>IF($B35="Quoting",TRUE,FALSE)</formula>
    </cfRule>
    <cfRule type="expression" dxfId="9107" priority="22126">
      <formula>IF($B35="Quoting",TRUE,FALSE)</formula>
    </cfRule>
    <cfRule type="expression" dxfId="9106" priority="22127">
      <formula>IF($B35="Quoting",TRUE,FALSE)</formula>
    </cfRule>
    <cfRule type="expression" dxfId="9105" priority="22128">
      <formula>IF($B35="Quoting",TRUE,FALSE)</formula>
    </cfRule>
    <cfRule type="expression" dxfId="9104" priority="22129">
      <formula>IF($B35="Quoting",TRUE,FALSE)</formula>
    </cfRule>
    <cfRule type="expression" dxfId="9103" priority="22130">
      <formula>IF($B35="Quoting",TRUE,FALSE)</formula>
    </cfRule>
    <cfRule type="expression" dxfId="9102" priority="22131">
      <formula>IF($B35="Quoting",TRUE,FALSE)</formula>
    </cfRule>
    <cfRule type="expression" dxfId="9101" priority="22132">
      <formula>IF($B35="Quoting",TRUE,FALSE)</formula>
    </cfRule>
    <cfRule type="expression" dxfId="9100" priority="22133">
      <formula>IF($B35="Quoting",TRUE,FALSE)</formula>
    </cfRule>
    <cfRule type="expression" dxfId="9099" priority="22134">
      <formula>IF($B35="Quoting",TRUE,FALSE)</formula>
    </cfRule>
    <cfRule type="expression" dxfId="9098" priority="22135">
      <formula>IF($B35="Quoting",TRUE,FALSE)</formula>
    </cfRule>
    <cfRule type="expression" dxfId="9097" priority="22136">
      <formula>IF($B35="Quoting",TRUE,FALSE)</formula>
    </cfRule>
    <cfRule type="expression" dxfId="9096" priority="22137">
      <formula>IF($B35="Quoting",TRUE,FALSE)</formula>
    </cfRule>
    <cfRule type="expression" dxfId="9095" priority="22138">
      <formula>IF($B35="Quoting",TRUE,FALSE)</formula>
    </cfRule>
    <cfRule type="expression" dxfId="9094" priority="22139">
      <formula>IF($B35="Quoting",TRUE,FALSE)</formula>
    </cfRule>
    <cfRule type="expression" dxfId="9093" priority="22140">
      <formula>IF($B35="Quoting",TRUE,FALSE)</formula>
    </cfRule>
    <cfRule type="expression" dxfId="9092" priority="22141">
      <formula>IF($B35="Quoting",TRUE,FALSE)</formula>
    </cfRule>
    <cfRule type="expression" dxfId="9091" priority="22142">
      <formula>IF($B35="Quoting",TRUE,FALSE)</formula>
    </cfRule>
    <cfRule type="expression" dxfId="9090" priority="22143">
      <formula>IF($B35="Quoting",TRUE,FALSE)</formula>
    </cfRule>
    <cfRule type="expression" dxfId="9089" priority="22144">
      <formula>IF($B35="Quoting",TRUE,FALSE)</formula>
    </cfRule>
    <cfRule type="expression" dxfId="9088" priority="22145">
      <formula>IF($B35="Quoting",TRUE,FALSE)</formula>
    </cfRule>
    <cfRule type="expression" dxfId="9087" priority="22146">
      <formula>IF($B35="Quoting",TRUE,FALSE)</formula>
    </cfRule>
    <cfRule type="expression" dxfId="9086" priority="22147">
      <formula>IF($B35="Quoting",TRUE,FALSE)</formula>
    </cfRule>
    <cfRule type="expression" dxfId="9085" priority="22148">
      <formula>IF($B35="Quoting",TRUE,FALSE)</formula>
    </cfRule>
    <cfRule type="expression" dxfId="9084" priority="22149">
      <formula>IF($B35="Quoting",TRUE,FALSE)</formula>
    </cfRule>
    <cfRule type="expression" dxfId="9083" priority="22150">
      <formula>IF($B35="Quoting",TRUE,FALSE)</formula>
    </cfRule>
    <cfRule type="expression" dxfId="9082" priority="22151">
      <formula>IF($B35="Quoting",TRUE,FALSE)</formula>
    </cfRule>
    <cfRule type="expression" dxfId="9081" priority="22152">
      <formula>IF($B35="Quoting",TRUE,FALSE)</formula>
    </cfRule>
    <cfRule type="expression" dxfId="9080" priority="22153">
      <formula>IF($B35="Quoting",TRUE,FALSE)</formula>
    </cfRule>
    <cfRule type="expression" dxfId="9079" priority="22154">
      <formula>IF($B35="Quoting",TRUE,FALSE)</formula>
    </cfRule>
    <cfRule type="expression" dxfId="9078" priority="22155">
      <formula>IF($B35="Quoting",TRUE,FALSE)</formula>
    </cfRule>
    <cfRule type="expression" dxfId="9077" priority="22156">
      <formula>IF($B35="Quoting",TRUE,FALSE)</formula>
    </cfRule>
    <cfRule type="expression" dxfId="9076" priority="22157">
      <formula>IF($B35="Quoting",TRUE,FALSE)</formula>
    </cfRule>
    <cfRule type="expression" dxfId="9075" priority="22158">
      <formula>IF($B35="Quoting",TRUE,FALSE)</formula>
    </cfRule>
    <cfRule type="expression" dxfId="9074" priority="22159">
      <formula>IF($B35="Quoting",TRUE,FALSE)</formula>
    </cfRule>
    <cfRule type="expression" dxfId="9073" priority="22160">
      <formula>IF($B35="Quoting",TRUE,FALSE)</formula>
    </cfRule>
    <cfRule type="expression" dxfId="9072" priority="22161">
      <formula>IF($B35="Quoting",TRUE,FALSE)</formula>
    </cfRule>
    <cfRule type="expression" dxfId="9071" priority="22162">
      <formula>IF($B35="Quoting",TRUE,FALSE)</formula>
    </cfRule>
    <cfRule type="expression" dxfId="9070" priority="22163">
      <formula>IF($B35="Quoting",TRUE,FALSE)</formula>
    </cfRule>
    <cfRule type="expression" dxfId="9069" priority="22164">
      <formula>IF($B35="Quoting",TRUE,FALSE)</formula>
    </cfRule>
    <cfRule type="expression" dxfId="9068" priority="22165">
      <formula>IF($B35="Quoting",TRUE,FALSE)</formula>
    </cfRule>
    <cfRule type="expression" dxfId="9067" priority="22166">
      <formula>IF($B35="Quoting",TRUE,FALSE)</formula>
    </cfRule>
    <cfRule type="expression" dxfId="9066" priority="22167">
      <formula>IF($B35="Quoting",TRUE,FALSE)</formula>
    </cfRule>
    <cfRule type="expression" dxfId="9065" priority="22168">
      <formula>IF($B35="Quoting",TRUE,FALSE)</formula>
    </cfRule>
    <cfRule type="expression" dxfId="9064" priority="22169">
      <formula>IF($B35="Quoting",TRUE,FALSE)</formula>
    </cfRule>
    <cfRule type="expression" dxfId="9063" priority="22170">
      <formula>IF($B35="Quoting",TRUE,FALSE)</formula>
    </cfRule>
    <cfRule type="expression" dxfId="9062" priority="22171">
      <formula>IF($B35="Quoting",TRUE,FALSE)</formula>
    </cfRule>
    <cfRule type="expression" dxfId="9061" priority="22172">
      <formula>IF($B35="Quoting",TRUE,FALSE)</formula>
    </cfRule>
    <cfRule type="expression" dxfId="9060" priority="22173">
      <formula>IF($B35="Quoting",TRUE,FALSE)</formula>
    </cfRule>
    <cfRule type="expression" dxfId="9059" priority="22174">
      <formula>IF($B35="Quoting",TRUE,FALSE)</formula>
    </cfRule>
    <cfRule type="expression" dxfId="9058" priority="22175">
      <formula>IF($B35="Quoting",TRUE,FALSE)</formula>
    </cfRule>
    <cfRule type="expression" dxfId="9057" priority="22176">
      <formula>IF($B35="Quoting",TRUE,FALSE)</formula>
    </cfRule>
    <cfRule type="expression" dxfId="9056" priority="22177">
      <formula>IF($B35="Quoting",TRUE,FALSE)</formula>
    </cfRule>
    <cfRule type="expression" dxfId="9055" priority="22178">
      <formula>IF($B35="Quoting",TRUE,FALSE)</formula>
    </cfRule>
    <cfRule type="expression" dxfId="9054" priority="22179">
      <formula>IF($B35="Quoting",TRUE,FALSE)</formula>
    </cfRule>
    <cfRule type="expression" dxfId="9053" priority="22180">
      <formula>IF($B35="Quoting",TRUE,FALSE)</formula>
    </cfRule>
    <cfRule type="expression" dxfId="9052" priority="22181">
      <formula>IF($B35="Quoting",TRUE,FALSE)</formula>
    </cfRule>
    <cfRule type="expression" dxfId="9051" priority="22182">
      <formula>IF($B35="Quoting",TRUE,FALSE)</formula>
    </cfRule>
    <cfRule type="expression" dxfId="9050" priority="22183">
      <formula>IF($B35="Quoting",TRUE,FALSE)</formula>
    </cfRule>
    <cfRule type="expression" dxfId="9049" priority="22184">
      <formula>IF($B35="Quoting",TRUE,FALSE)</formula>
    </cfRule>
    <cfRule type="expression" dxfId="9048" priority="22185">
      <formula>IF($B35="Quoting",TRUE,FALSE)</formula>
    </cfRule>
    <cfRule type="expression" dxfId="9047" priority="22186">
      <formula>IF($B35="Quoting",TRUE,FALSE)</formula>
    </cfRule>
    <cfRule type="expression" dxfId="9046" priority="22187">
      <formula>IF($B35="Quoting",TRUE,FALSE)</formula>
    </cfRule>
    <cfRule type="expression" dxfId="9045" priority="22188">
      <formula>IF($B35="Quoting",TRUE,FALSE)</formula>
    </cfRule>
    <cfRule type="expression" dxfId="9044" priority="22189">
      <formula>IF($B35="Quoting",TRUE,FALSE)</formula>
    </cfRule>
    <cfRule type="expression" dxfId="9043" priority="22190">
      <formula>IF($B35="Quoting",TRUE,FALSE)</formula>
    </cfRule>
    <cfRule type="expression" dxfId="9042" priority="22191">
      <formula>IF($B35="Quoting",TRUE,FALSE)</formula>
    </cfRule>
    <cfRule type="expression" dxfId="9041" priority="22192">
      <formula>IF($B35="Quoting",TRUE,FALSE)</formula>
    </cfRule>
    <cfRule type="expression" dxfId="9040" priority="22193">
      <formula>IF($B35="Quoting",TRUE,FALSE)</formula>
    </cfRule>
    <cfRule type="expression" dxfId="9039" priority="22194">
      <formula>IF($B35="Quoting",TRUE,FALSE)</formula>
    </cfRule>
    <cfRule type="expression" dxfId="9038" priority="22195">
      <formula>IF($B35="Quoting",TRUE,FALSE)</formula>
    </cfRule>
    <cfRule type="expression" dxfId="9037" priority="22196">
      <formula>IF($B35="Quoting",TRUE,FALSE)</formula>
    </cfRule>
    <cfRule type="expression" dxfId="9036" priority="22197">
      <formula>IF($B35="Quoting",TRUE,FALSE)</formula>
    </cfRule>
    <cfRule type="expression" dxfId="9035" priority="22198">
      <formula>IF($B35="Quoting",TRUE,FALSE)</formula>
    </cfRule>
    <cfRule type="expression" dxfId="9034" priority="22199">
      <formula>IF($B35="Quoting",TRUE,FALSE)</formula>
    </cfRule>
    <cfRule type="expression" dxfId="9033" priority="22200">
      <formula>IF($B35="Quoting",TRUE,FALSE)</formula>
    </cfRule>
    <cfRule type="expression" dxfId="9032" priority="22201">
      <formula>IF($B35="Quoting",TRUE,FALSE)</formula>
    </cfRule>
    <cfRule type="expression" dxfId="9031" priority="22202">
      <formula>IF($B35="Quoting",TRUE,FALSE)</formula>
    </cfRule>
    <cfRule type="expression" dxfId="9030" priority="22203">
      <formula>IF($B35="Quoting",TRUE,FALSE)</formula>
    </cfRule>
    <cfRule type="expression" dxfId="9029" priority="22204">
      <formula>IF($B35="Quoting",TRUE,FALSE)</formula>
    </cfRule>
    <cfRule type="expression" dxfId="9028" priority="22205">
      <formula>IF($B35="Quoting",TRUE,FALSE)</formula>
    </cfRule>
    <cfRule type="expression" dxfId="9027" priority="22206">
      <formula>IF($B35="Quoting",TRUE,FALSE)</formula>
    </cfRule>
    <cfRule type="expression" dxfId="9026" priority="22207">
      <formula>IF($B35="Quoting",TRUE,FALSE)</formula>
    </cfRule>
    <cfRule type="expression" dxfId="9025" priority="22208">
      <formula>IF($B35="Quoting",TRUE,FALSE)</formula>
    </cfRule>
    <cfRule type="expression" dxfId="9024" priority="22209">
      <formula>IF($B35="Quoting",TRUE,FALSE)</formula>
    </cfRule>
    <cfRule type="expression" dxfId="9023" priority="22210">
      <formula>IF($B35="Quoting",TRUE,FALSE)</formula>
    </cfRule>
    <cfRule type="expression" dxfId="9022" priority="22211">
      <formula>IF($B35="Quoting",TRUE,FALSE)</formula>
    </cfRule>
    <cfRule type="expression" dxfId="9021" priority="22212">
      <formula>IF($B35="Quoting",TRUE,FALSE)</formula>
    </cfRule>
    <cfRule type="expression" dxfId="9020" priority="22213">
      <formula>IF($B35="Quoting",TRUE,FALSE)</formula>
    </cfRule>
    <cfRule type="expression" dxfId="9019" priority="22214">
      <formula>IF($B35="Quoting",TRUE,FALSE)</formula>
    </cfRule>
    <cfRule type="expression" dxfId="9018" priority="22215">
      <formula>IF($B35="Quoting",TRUE,FALSE)</formula>
    </cfRule>
    <cfRule type="expression" dxfId="9017" priority="22216">
      <formula>IF($B35="Quoting",TRUE,FALSE)</formula>
    </cfRule>
    <cfRule type="expression" dxfId="9016" priority="22217">
      <formula>IF($B35="Quoting",TRUE,FALSE)</formula>
    </cfRule>
    <cfRule type="expression" dxfId="9015" priority="22218">
      <formula>IF($B35="Quoting",TRUE,FALSE)</formula>
    </cfRule>
    <cfRule type="expression" dxfId="9014" priority="22219">
      <formula>IF($B35="Quoting",TRUE,FALSE)</formula>
    </cfRule>
    <cfRule type="expression" dxfId="9013" priority="22220">
      <formula>IF($B35="Quoting",TRUE,FALSE)</formula>
    </cfRule>
    <cfRule type="expression" dxfId="9012" priority="22221">
      <formula>IF($B35="Quoting",TRUE,FALSE)</formula>
    </cfRule>
    <cfRule type="expression" dxfId="9011" priority="22222">
      <formula>IF($B35="Quoting",TRUE,FALSE)</formula>
    </cfRule>
    <cfRule type="expression" dxfId="9010" priority="22223">
      <formula>IF($B35="Quoting",TRUE,FALSE)</formula>
    </cfRule>
    <cfRule type="expression" dxfId="9009" priority="22224">
      <formula>IF($B35="Quoting",TRUE,FALSE)</formula>
    </cfRule>
    <cfRule type="expression" dxfId="9008" priority="22225">
      <formula>IF($B35="Quoting",TRUE,FALSE)</formula>
    </cfRule>
    <cfRule type="expression" dxfId="9007" priority="22226">
      <formula>IF($B35="Quoting",TRUE,FALSE)</formula>
    </cfRule>
    <cfRule type="expression" dxfId="9006" priority="22227">
      <formula>IF($B35="Quoting",TRUE,FALSE)</formula>
    </cfRule>
    <cfRule type="expression" dxfId="9005" priority="22228">
      <formula>IF($B35="Quoting",TRUE,FALSE)</formula>
    </cfRule>
    <cfRule type="expression" dxfId="9004" priority="22229">
      <formula>IF($B35="Quoting",TRUE,FALSE)</formula>
    </cfRule>
    <cfRule type="expression" dxfId="9003" priority="22230">
      <formula>IF($B35="Quoting",TRUE,FALSE)</formula>
    </cfRule>
    <cfRule type="expression" dxfId="9002" priority="22231">
      <formula>IF($B35="Quoting",TRUE,FALSE)</formula>
    </cfRule>
    <cfRule type="expression" dxfId="9001" priority="22232">
      <formula>IF($B35="Quoting",TRUE,FALSE)</formula>
    </cfRule>
    <cfRule type="expression" dxfId="9000" priority="22233">
      <formula>IF($B35="Quoting",TRUE,FALSE)</formula>
    </cfRule>
    <cfRule type="expression" dxfId="8999" priority="22234">
      <formula>IF($B35="Quoting",TRUE,FALSE)</formula>
    </cfRule>
    <cfRule type="expression" dxfId="8998" priority="22235">
      <formula>IF($B35="Quoting",TRUE,FALSE)</formula>
    </cfRule>
    <cfRule type="expression" dxfId="8997" priority="22236">
      <formula>IF($B35="Quoting",TRUE,FALSE)</formula>
    </cfRule>
    <cfRule type="expression" dxfId="8996" priority="22237">
      <formula>IF($B35="Quoting",TRUE,FALSE)</formula>
    </cfRule>
    <cfRule type="expression" dxfId="8995" priority="22238">
      <formula>IF($B35="Quoting",TRUE,FALSE)</formula>
    </cfRule>
    <cfRule type="expression" dxfId="8994" priority="22239">
      <formula>IF($B35="Quoting",TRUE,FALSE)</formula>
    </cfRule>
    <cfRule type="expression" dxfId="8993" priority="22240">
      <formula>IF($B35="Quoting",TRUE,FALSE)</formula>
    </cfRule>
    <cfRule type="expression" dxfId="8992" priority="22241">
      <formula>IF($B35="Quoting",TRUE,FALSE)</formula>
    </cfRule>
    <cfRule type="expression" dxfId="8991" priority="22242">
      <formula>IF($B35="Quoting",TRUE,FALSE)</formula>
    </cfRule>
    <cfRule type="expression" dxfId="8990" priority="22243">
      <formula>IF($B35="Quoting",TRUE,FALSE)</formula>
    </cfRule>
    <cfRule type="expression" dxfId="8989" priority="22244">
      <formula>IF($B35="Quoting",TRUE,FALSE)</formula>
    </cfRule>
    <cfRule type="expression" dxfId="8988" priority="22245">
      <formula>IF($B35="Quoting",TRUE,FALSE)</formula>
    </cfRule>
    <cfRule type="expression" dxfId="8987" priority="22246">
      <formula>IF($B35="Quoting",TRUE,FALSE)</formula>
    </cfRule>
    <cfRule type="expression" dxfId="8986" priority="22247">
      <formula>IF($B35="Quoting",TRUE,FALSE)</formula>
    </cfRule>
    <cfRule type="expression" dxfId="8985" priority="22248">
      <formula>IF($B35="Quoting",TRUE,FALSE)</formula>
    </cfRule>
    <cfRule type="expression" dxfId="8984" priority="22249">
      <formula>IF($B35="Quoting",TRUE,FALSE)</formula>
    </cfRule>
    <cfRule type="expression" dxfId="8983" priority="22250">
      <formula>IF($B35="Quoting",TRUE,FALSE)</formula>
    </cfRule>
    <cfRule type="expression" dxfId="8982" priority="22251">
      <formula>IF($B35="Quoting",TRUE,FALSE)</formula>
    </cfRule>
    <cfRule type="expression" dxfId="8981" priority="22252">
      <formula>IF($B35="Quoting",TRUE,FALSE)</formula>
    </cfRule>
    <cfRule type="expression" dxfId="8980" priority="22253">
      <formula>IF($B35="Quoting",TRUE,FALSE)</formula>
    </cfRule>
    <cfRule type="expression" dxfId="8979" priority="22254">
      <formula>IF($B35="Quoting",TRUE,FALSE)</formula>
    </cfRule>
    <cfRule type="expression" dxfId="8978" priority="22255">
      <formula>IF($B35="Quoting",TRUE,FALSE)</formula>
    </cfRule>
    <cfRule type="expression" dxfId="8977" priority="22256">
      <formula>IF($B35="Quoting",TRUE,FALSE)</formula>
    </cfRule>
    <cfRule type="expression" dxfId="8976" priority="22257">
      <formula>IF($B35="Quoting",TRUE,FALSE)</formula>
    </cfRule>
    <cfRule type="expression" dxfId="8975" priority="22258">
      <formula>IF($B35="Quoting",TRUE,FALSE)</formula>
    </cfRule>
    <cfRule type="expression" dxfId="8974" priority="22259">
      <formula>IF($B35="Quoting",TRUE,FALSE)</formula>
    </cfRule>
    <cfRule type="expression" dxfId="8973" priority="22260">
      <formula>IF($B35="Quoting",TRUE,FALSE)</formula>
    </cfRule>
    <cfRule type="expression" dxfId="8972" priority="22261">
      <formula>IF($B35="Quoting",TRUE,FALSE)</formula>
    </cfRule>
    <cfRule type="expression" dxfId="8971" priority="22262">
      <formula>IF($B35="Quoting",TRUE,FALSE)</formula>
    </cfRule>
    <cfRule type="expression" dxfId="8970" priority="22263">
      <formula>IF($B35="Quoting",TRUE,FALSE)</formula>
    </cfRule>
    <cfRule type="expression" dxfId="8969" priority="22264">
      <formula>IF($B35="Quoting",TRUE,FALSE)</formula>
    </cfRule>
    <cfRule type="expression" dxfId="8968" priority="22265">
      <formula>IF($B35="Quoting",TRUE,FALSE)</formula>
    </cfRule>
    <cfRule type="expression" dxfId="8967" priority="22266">
      <formula>IF($B35="Quoting",TRUE,FALSE)</formula>
    </cfRule>
    <cfRule type="expression" dxfId="8966" priority="22267">
      <formula>IF($B35="Quoting",TRUE,FALSE)</formula>
    </cfRule>
    <cfRule type="expression" dxfId="8965" priority="22268">
      <formula>IF($B35="Quoting",TRUE,FALSE)</formula>
    </cfRule>
    <cfRule type="expression" dxfId="8964" priority="22269">
      <formula>IF($B35="Quoting",TRUE,FALSE)</formula>
    </cfRule>
    <cfRule type="expression" dxfId="8963" priority="22270">
      <formula>IF($B35="Quoting",TRUE,FALSE)</formula>
    </cfRule>
    <cfRule type="expression" dxfId="8962" priority="22271">
      <formula>IF($B35="Quoting",TRUE,FALSE)</formula>
    </cfRule>
    <cfRule type="expression" dxfId="8961" priority="22272">
      <formula>IF($B35="Quoting",TRUE,FALSE)</formula>
    </cfRule>
    <cfRule type="expression" dxfId="8960" priority="22273">
      <formula>IF($B35="Quoting",TRUE,FALSE)</formula>
    </cfRule>
    <cfRule type="expression" dxfId="8959" priority="22274">
      <formula>IF($B35="Quoting",TRUE,FALSE)</formula>
    </cfRule>
    <cfRule type="expression" dxfId="8958" priority="22275">
      <formula>IF($B35="Quoting",TRUE,FALSE)</formula>
    </cfRule>
    <cfRule type="expression" dxfId="8957" priority="22276">
      <formula>IF($B35="Quoting",TRUE,FALSE)</formula>
    </cfRule>
    <cfRule type="expression" dxfId="8956" priority="22277">
      <formula>IF($B35="Quoting",TRUE,FALSE)</formula>
    </cfRule>
    <cfRule type="expression" dxfId="8955" priority="22278">
      <formula>IF($B35="Quoting",TRUE,FALSE)</formula>
    </cfRule>
    <cfRule type="expression" dxfId="8954" priority="22279">
      <formula>IF($B35="Quoting",TRUE,FALSE)</formula>
    </cfRule>
    <cfRule type="expression" dxfId="8953" priority="22280">
      <formula>IF($B35="Quoting",TRUE,FALSE)</formula>
    </cfRule>
    <cfRule type="expression" dxfId="8952" priority="22281">
      <formula>IF($B35="Quoting",TRUE,FALSE)</formula>
    </cfRule>
    <cfRule type="expression" dxfId="8951" priority="22282">
      <formula>IF($B35="Quoting",TRUE,FALSE)</formula>
    </cfRule>
    <cfRule type="expression" dxfId="8950" priority="22283">
      <formula>IF($B35="Quoting",TRUE,FALSE)</formula>
    </cfRule>
    <cfRule type="expression" dxfId="8949" priority="22284">
      <formula>IF($B35="Quoting",TRUE,FALSE)</formula>
    </cfRule>
    <cfRule type="expression" dxfId="8948" priority="22285">
      <formula>IF($B35="Quoting",TRUE,FALSE)</formula>
    </cfRule>
    <cfRule type="expression" dxfId="8947" priority="22286">
      <formula>IF($B35="Quoting",TRUE,FALSE)</formula>
    </cfRule>
    <cfRule type="expression" dxfId="8946" priority="22287">
      <formula>IF($B35="Quoting",TRUE,FALSE)</formula>
    </cfRule>
    <cfRule type="expression" dxfId="8945" priority="22288">
      <formula>IF($B35="Quoting",TRUE,FALSE)</formula>
    </cfRule>
    <cfRule type="expression" dxfId="8944" priority="22289">
      <formula>IF($B35="Quoting",TRUE,FALSE)</formula>
    </cfRule>
    <cfRule type="expression" dxfId="8943" priority="22290">
      <formula>IF($B35="Quoting",TRUE,FALSE)</formula>
    </cfRule>
    <cfRule type="expression" dxfId="8942" priority="22291">
      <formula>IF($B35="Quoting",TRUE,FALSE)</formula>
    </cfRule>
    <cfRule type="expression" dxfId="8941" priority="22292">
      <formula>IF($B35="Quoting",TRUE,FALSE)</formula>
    </cfRule>
    <cfRule type="expression" dxfId="8940" priority="22293">
      <formula>IF($B35="Quoting",TRUE,FALSE)</formula>
    </cfRule>
    <cfRule type="expression" dxfId="8939" priority="22294">
      <formula>IF($B35="Quoting",TRUE,FALSE)</formula>
    </cfRule>
    <cfRule type="expression" dxfId="8938" priority="22295">
      <formula>IF($B35="Quoting",TRUE,FALSE)</formula>
    </cfRule>
    <cfRule type="expression" dxfId="8937" priority="22296">
      <formula>IF($B35="Quoting",TRUE,FALSE)</formula>
    </cfRule>
    <cfRule type="expression" dxfId="8936" priority="22297">
      <formula>IF($B35="Quoting",TRUE,FALSE)</formula>
    </cfRule>
    <cfRule type="expression" dxfId="8935" priority="22298">
      <formula>IF($B35="Quoting",TRUE,FALSE)</formula>
    </cfRule>
    <cfRule type="expression" dxfId="8934" priority="22299">
      <formula>IF($B35="Quoting",TRUE,FALSE)</formula>
    </cfRule>
    <cfRule type="expression" dxfId="8933" priority="22300">
      <formula>IF($B35="Quoting",TRUE,FALSE)</formula>
    </cfRule>
    <cfRule type="expression" dxfId="8932" priority="22301">
      <formula>IF($B35="Quoting",TRUE,FALSE)</formula>
    </cfRule>
    <cfRule type="expression" dxfId="8931" priority="22302">
      <formula>IF($B35="Quoting",TRUE,FALSE)</formula>
    </cfRule>
    <cfRule type="expression" dxfId="8930" priority="22303">
      <formula>IF($B35="Quoting",TRUE,FALSE)</formula>
    </cfRule>
    <cfRule type="expression" dxfId="8929" priority="22304">
      <formula>IF($B35="Quoting",TRUE,FALSE)</formula>
    </cfRule>
    <cfRule type="expression" dxfId="8928" priority="22305">
      <formula>IF($B35="Quoting",TRUE,FALSE)</formula>
    </cfRule>
    <cfRule type="expression" dxfId="8927" priority="22306">
      <formula>IF($B35="Quoting",TRUE,FALSE)</formula>
    </cfRule>
    <cfRule type="expression" dxfId="8926" priority="22307">
      <formula>IF($B35="Quoting",TRUE,FALSE)</formula>
    </cfRule>
    <cfRule type="expression" dxfId="8925" priority="22308">
      <formula>IF($B35="Quoting",TRUE,FALSE)</formula>
    </cfRule>
    <cfRule type="expression" dxfId="8924" priority="22309">
      <formula>IF($B35="Quoting",TRUE,FALSE)</formula>
    </cfRule>
    <cfRule type="expression" dxfId="8923" priority="22310">
      <formula>IF($B35="Quoting",TRUE,FALSE)</formula>
    </cfRule>
    <cfRule type="expression" dxfId="8922" priority="22311">
      <formula>IF($B35="Quoting",TRUE,FALSE)</formula>
    </cfRule>
    <cfRule type="expression" dxfId="8921" priority="22312">
      <formula>IF($B35="Quoting",TRUE,FALSE)</formula>
    </cfRule>
    <cfRule type="expression" dxfId="8920" priority="22313">
      <formula>IF($B35="Quoting",TRUE,FALSE)</formula>
    </cfRule>
    <cfRule type="expression" dxfId="8919" priority="22314">
      <formula>IF($B35="Quoting",TRUE,FALSE)</formula>
    </cfRule>
    <cfRule type="expression" dxfId="8918" priority="22315">
      <formula>IF($B35="Quoting",TRUE,FALSE)</formula>
    </cfRule>
    <cfRule type="expression" dxfId="8917" priority="22316">
      <formula>IF($B35="Quoting",TRUE,FALSE)</formula>
    </cfRule>
    <cfRule type="expression" dxfId="8916" priority="22317">
      <formula>IF($B35="Quoting",TRUE,FALSE)</formula>
    </cfRule>
    <cfRule type="expression" dxfId="8915" priority="22318">
      <formula>IF($B35="Quoting",TRUE,FALSE)</formula>
    </cfRule>
    <cfRule type="expression" dxfId="8914" priority="22319">
      <formula>IF($B35="Quoting",TRUE,FALSE)</formula>
    </cfRule>
    <cfRule type="expression" dxfId="8913" priority="22320">
      <formula>IF($B35="Quoting",TRUE,FALSE)</formula>
    </cfRule>
    <cfRule type="expression" dxfId="8912" priority="22321">
      <formula>IF($B35="Quoting",TRUE,FALSE)</formula>
    </cfRule>
    <cfRule type="expression" dxfId="8911" priority="22322">
      <formula>IF($B35="Quoting",TRUE,FALSE)</formula>
    </cfRule>
    <cfRule type="expression" dxfId="8910" priority="22323">
      <formula>IF($B35="Quoting",TRUE,FALSE)</formula>
    </cfRule>
    <cfRule type="expression" dxfId="8909" priority="22324">
      <formula>IF($B35="Quoting",TRUE,FALSE)</formula>
    </cfRule>
    <cfRule type="expression" dxfId="8908" priority="22325">
      <formula>IF($B35="Quoting",TRUE,FALSE)</formula>
    </cfRule>
    <cfRule type="expression" dxfId="8907" priority="22326">
      <formula>IF($B35="Quoting",TRUE,FALSE)</formula>
    </cfRule>
    <cfRule type="expression" dxfId="8906" priority="22327">
      <formula>IF($B35="Quoting",TRUE,FALSE)</formula>
    </cfRule>
    <cfRule type="expression" dxfId="8905" priority="22328">
      <formula>IF($B35="Quoting",TRUE,FALSE)</formula>
    </cfRule>
    <cfRule type="expression" dxfId="8904" priority="22329">
      <formula>IF($B35="Quoting",TRUE,FALSE)</formula>
    </cfRule>
    <cfRule type="expression" dxfId="8903" priority="22330">
      <formula>IF($B35="Quoting",TRUE,FALSE)</formula>
    </cfRule>
    <cfRule type="expression" dxfId="8902" priority="22331">
      <formula>IF($B35="Quoting",TRUE,FALSE)</formula>
    </cfRule>
    <cfRule type="expression" dxfId="8901" priority="22332">
      <formula>IF($B35="Quoting",TRUE,FALSE)</formula>
    </cfRule>
    <cfRule type="expression" dxfId="8900" priority="22333">
      <formula>IF($B35="Quoting",TRUE,FALSE)</formula>
    </cfRule>
    <cfRule type="expression" dxfId="8899" priority="22334">
      <formula>IF($B35="Quoting",TRUE,FALSE)</formula>
    </cfRule>
    <cfRule type="expression" dxfId="8898" priority="22335">
      <formula>IF($B35="Quoting",TRUE,FALSE)</formula>
    </cfRule>
    <cfRule type="expression" dxfId="8897" priority="22336">
      <formula>IF($B35="Quoting",TRUE,FALSE)</formula>
    </cfRule>
    <cfRule type="expression" dxfId="8896" priority="22337">
      <formula>IF($B35="Quoting",TRUE,FALSE)</formula>
    </cfRule>
    <cfRule type="expression" dxfId="8895" priority="22338">
      <formula>IF($B35="Quoting",TRUE,FALSE)</formula>
    </cfRule>
    <cfRule type="expression" dxfId="8894" priority="22339">
      <formula>IF($B35="Quoting",TRUE,FALSE)</formula>
    </cfRule>
    <cfRule type="expression" dxfId="8893" priority="22340">
      <formula>IF($B35="Quoting",TRUE,FALSE)</formula>
    </cfRule>
    <cfRule type="expression" dxfId="8892" priority="22341">
      <formula>IF($B35="Quoting",TRUE,FALSE)</formula>
    </cfRule>
    <cfRule type="expression" dxfId="8891" priority="22342">
      <formula>IF($B35="Quoting",TRUE,FALSE)</formula>
    </cfRule>
    <cfRule type="expression" dxfId="8890" priority="22343">
      <formula>IF($B35="Quoting",TRUE,FALSE)</formula>
    </cfRule>
    <cfRule type="expression" dxfId="8889" priority="22344">
      <formula>IF($B35="Quoting",TRUE,FALSE)</formula>
    </cfRule>
    <cfRule type="expression" dxfId="8888" priority="22345">
      <formula>IF($B35="Quoting",TRUE,FALSE)</formula>
    </cfRule>
    <cfRule type="expression" dxfId="8887" priority="22346">
      <formula>IF($B35="Quoting",TRUE,FALSE)</formula>
    </cfRule>
    <cfRule type="expression" dxfId="8886" priority="22347">
      <formula>IF($B35="Quoting",TRUE,FALSE)</formula>
    </cfRule>
    <cfRule type="expression" dxfId="8885" priority="22348">
      <formula>IF($B35="Quoting",TRUE,FALSE)</formula>
    </cfRule>
    <cfRule type="expression" dxfId="8884" priority="22349">
      <formula>IF($B35="Quoting",TRUE,FALSE)</formula>
    </cfRule>
    <cfRule type="expression" dxfId="8883" priority="22350">
      <formula>IF($B35="Quoting",TRUE,FALSE)</formula>
    </cfRule>
    <cfRule type="expression" dxfId="8882" priority="22351">
      <formula>IF($B35="Quoting",TRUE,FALSE)</formula>
    </cfRule>
    <cfRule type="expression" dxfId="8881" priority="22352">
      <formula>IF($B35="Quoting",TRUE,FALSE)</formula>
    </cfRule>
    <cfRule type="expression" dxfId="8880" priority="22353">
      <formula>IF($B35="Quoting",TRUE,FALSE)</formula>
    </cfRule>
    <cfRule type="expression" dxfId="8879" priority="22354">
      <formula>IF($B35="Quoting",TRUE,FALSE)</formula>
    </cfRule>
    <cfRule type="expression" dxfId="8878" priority="22355">
      <formula>IF($B35="Quoting",TRUE,FALSE)</formula>
    </cfRule>
    <cfRule type="expression" dxfId="8877" priority="22356">
      <formula>IF($B35="Quoting",TRUE,FALSE)</formula>
    </cfRule>
    <cfRule type="expression" dxfId="8876" priority="22357">
      <formula>IF($B35="Quoting",TRUE,FALSE)</formula>
    </cfRule>
    <cfRule type="expression" dxfId="8875" priority="22358">
      <formula>IF($B35="Quoting",TRUE,FALSE)</formula>
    </cfRule>
    <cfRule type="expression" dxfId="8874" priority="22359">
      <formula>IF($B35="Quoting",TRUE,FALSE)</formula>
    </cfRule>
    <cfRule type="expression" dxfId="8873" priority="22360">
      <formula>IF($B35="Quoting",TRUE,FALSE)</formula>
    </cfRule>
    <cfRule type="expression" dxfId="8872" priority="22361">
      <formula>IF($B35="Quoting",TRUE,FALSE)</formula>
    </cfRule>
    <cfRule type="expression" dxfId="8871" priority="22362">
      <formula>IF($B35="Quoting",TRUE,FALSE)</formula>
    </cfRule>
    <cfRule type="expression" dxfId="8870" priority="22363">
      <formula>IF($B35="Quoting",TRUE,FALSE)</formula>
    </cfRule>
    <cfRule type="expression" dxfId="8869" priority="22364">
      <formula>IF($B35="Quoting",TRUE,FALSE)</formula>
    </cfRule>
    <cfRule type="expression" dxfId="8868" priority="22365">
      <formula>IF($B35="Quoting",TRUE,FALSE)</formula>
    </cfRule>
    <cfRule type="expression" dxfId="8867" priority="22366">
      <formula>IF($B35="Quoting",TRUE,FALSE)</formula>
    </cfRule>
    <cfRule type="expression" dxfId="8866" priority="22367">
      <formula>IF($B35="Quoting",TRUE,FALSE)</formula>
    </cfRule>
    <cfRule type="expression" dxfId="8865" priority="22368">
      <formula>IF($B35="Quoting",TRUE,FALSE)</formula>
    </cfRule>
    <cfRule type="expression" dxfId="8864" priority="22369">
      <formula>IF($B35="Quoting",TRUE,FALSE)</formula>
    </cfRule>
    <cfRule type="expression" dxfId="8863" priority="22370">
      <formula>IF($B35="Quoting",TRUE,FALSE)</formula>
    </cfRule>
    <cfRule type="expression" dxfId="8862" priority="22371">
      <formula>IF($B35="Quoting",TRUE,FALSE)</formula>
    </cfRule>
    <cfRule type="expression" dxfId="8861" priority="22372">
      <formula>IF($B35="Quoting",TRUE,FALSE)</formula>
    </cfRule>
    <cfRule type="expression" dxfId="8860" priority="22373">
      <formula>IF($B35="Quoting",TRUE,FALSE)</formula>
    </cfRule>
    <cfRule type="expression" dxfId="8859" priority="22374">
      <formula>IF($B35="Quoting",TRUE,FALSE)</formula>
    </cfRule>
    <cfRule type="expression" dxfId="8858" priority="22375">
      <formula>IF($B35="Quoting",TRUE,FALSE)</formula>
    </cfRule>
    <cfRule type="expression" dxfId="8857" priority="22376">
      <formula>IF($B35="Quoting",TRUE,FALSE)</formula>
    </cfRule>
    <cfRule type="expression" dxfId="8856" priority="22377">
      <formula>IF($B35="Quoting",TRUE,FALSE)</formula>
    </cfRule>
    <cfRule type="expression" dxfId="8855" priority="22378">
      <formula>IF($B35="Quoting",TRUE,FALSE)</formula>
    </cfRule>
    <cfRule type="expression" dxfId="8854" priority="22379">
      <formula>IF($B35="Quoting",TRUE,FALSE)</formula>
    </cfRule>
    <cfRule type="expression" dxfId="8853" priority="22380">
      <formula>IF($B35="Quoting",TRUE,FALSE)</formula>
    </cfRule>
    <cfRule type="expression" dxfId="8852" priority="22381">
      <formula>IF($B35="Quoting",TRUE,FALSE)</formula>
    </cfRule>
    <cfRule type="expression" dxfId="8851" priority="22382">
      <formula>IF($B35="Quoting",TRUE,FALSE)</formula>
    </cfRule>
    <cfRule type="expression" dxfId="8850" priority="22383">
      <formula>IF($B35="Quoting",TRUE,FALSE)</formula>
    </cfRule>
    <cfRule type="expression" dxfId="8849" priority="22384">
      <formula>IF($B35="Quoting",TRUE,FALSE)</formula>
    </cfRule>
    <cfRule type="expression" dxfId="8848" priority="22385">
      <formula>IF($B35="Quoting",TRUE,FALSE)</formula>
    </cfRule>
    <cfRule type="expression" dxfId="8847" priority="22386">
      <formula>IF($B35="Quoting",TRUE,FALSE)</formula>
    </cfRule>
    <cfRule type="expression" dxfId="8846" priority="22387">
      <formula>IF($B35="Quoting",TRUE,FALSE)</formula>
    </cfRule>
    <cfRule type="expression" dxfId="8845" priority="22388">
      <formula>IF($B35="Quoting",TRUE,FALSE)</formula>
    </cfRule>
    <cfRule type="expression" dxfId="8844" priority="22389">
      <formula>IF($B35="Quoting",TRUE,FALSE)</formula>
    </cfRule>
    <cfRule type="expression" dxfId="8843" priority="22390">
      <formula>IF($B35="Quoting",TRUE,FALSE)</formula>
    </cfRule>
    <cfRule type="expression" dxfId="8842" priority="22391">
      <formula>IF($B35="Quoting",TRUE,FALSE)</formula>
    </cfRule>
    <cfRule type="expression" dxfId="8841" priority="22392">
      <formula>IF($B35="Quoting",TRUE,FALSE)</formula>
    </cfRule>
    <cfRule type="expression" dxfId="8840" priority="22393">
      <formula>IF($B35="Quoting",TRUE,FALSE)</formula>
    </cfRule>
    <cfRule type="expression" dxfId="8839" priority="22394">
      <formula>IF($B35="Quoting",TRUE,FALSE)</formula>
    </cfRule>
    <cfRule type="expression" dxfId="8838" priority="22395">
      <formula>IF($B35="Quoting",TRUE,FALSE)</formula>
    </cfRule>
    <cfRule type="expression" dxfId="8837" priority="22396">
      <formula>IF($B35="Quoting",TRUE,FALSE)</formula>
    </cfRule>
    <cfRule type="expression" dxfId="8836" priority="22397">
      <formula>IF($B35="Quoting",TRUE,FALSE)</formula>
    </cfRule>
    <cfRule type="expression" dxfId="8835" priority="22398">
      <formula>IF($B35="Quoting",TRUE,FALSE)</formula>
    </cfRule>
    <cfRule type="expression" dxfId="8834" priority="22399">
      <formula>IF($B35="Quoting",TRUE,FALSE)</formula>
    </cfRule>
    <cfRule type="expression" dxfId="8833" priority="22400">
      <formula>IF($B35="Quoting",TRUE,FALSE)</formula>
    </cfRule>
    <cfRule type="expression" dxfId="8832" priority="22401">
      <formula>IF($B35="Quoting",TRUE,FALSE)</formula>
    </cfRule>
    <cfRule type="expression" dxfId="8831" priority="22402">
      <formula>IF($B35="Quoting",TRUE,FALSE)</formula>
    </cfRule>
    <cfRule type="expression" dxfId="8830" priority="22403">
      <formula>IF($B35="Quoting",TRUE,FALSE)</formula>
    </cfRule>
    <cfRule type="expression" dxfId="8829" priority="22404">
      <formula>IF($B35="Quoting",TRUE,FALSE)</formula>
    </cfRule>
    <cfRule type="expression" dxfId="8828" priority="22405">
      <formula>IF($B35="Quoting",TRUE,FALSE)</formula>
    </cfRule>
    <cfRule type="expression" dxfId="8827" priority="22406">
      <formula>IF($B35="Quoting",TRUE,FALSE)</formula>
    </cfRule>
    <cfRule type="expression" dxfId="8826" priority="22407">
      <formula>IF($B35="Quoting",TRUE,FALSE)</formula>
    </cfRule>
    <cfRule type="expression" dxfId="8825" priority="22408">
      <formula>IF($B35="Quoting",TRUE,FALSE)</formula>
    </cfRule>
    <cfRule type="expression" dxfId="8824" priority="22409">
      <formula>IF($B35="Quoting",TRUE,FALSE)</formula>
    </cfRule>
    <cfRule type="expression" dxfId="8823" priority="22410">
      <formula>IF($B35="Quoting",TRUE,FALSE)</formula>
    </cfRule>
    <cfRule type="expression" dxfId="8822" priority="22411">
      <formula>IF($B35="Quoting",TRUE,FALSE)</formula>
    </cfRule>
    <cfRule type="expression" dxfId="8821" priority="22412">
      <formula>IF($B35="Quoting",TRUE,FALSE)</formula>
    </cfRule>
    <cfRule type="expression" dxfId="8820" priority="22413">
      <formula>IF($B35="Quoting",TRUE,FALSE)</formula>
    </cfRule>
    <cfRule type="expression" dxfId="8819" priority="22414">
      <formula>IF($B35="Quoting",TRUE,FALSE)</formula>
    </cfRule>
    <cfRule type="expression" dxfId="8818" priority="22415">
      <formula>IF($B35="Quoting",TRUE,FALSE)</formula>
    </cfRule>
    <cfRule type="expression" dxfId="8817" priority="22416">
      <formula>IF($B35="Quoting",TRUE,FALSE)</formula>
    </cfRule>
    <cfRule type="expression" dxfId="8816" priority="22417">
      <formula>IF($B35="Quoting",TRUE,FALSE)</formula>
    </cfRule>
    <cfRule type="expression" dxfId="8815" priority="22418">
      <formula>IF($B35="Quoting",TRUE,FALSE)</formula>
    </cfRule>
    <cfRule type="expression" dxfId="8814" priority="22419">
      <formula>IF($B35="Quoting",TRUE,FALSE)</formula>
    </cfRule>
    <cfRule type="expression" dxfId="8813" priority="22420">
      <formula>IF($B35="Quoting",TRUE,FALSE)</formula>
    </cfRule>
    <cfRule type="expression" dxfId="8812" priority="22421">
      <formula>IF($B35="Quoting",TRUE,FALSE)</formula>
    </cfRule>
    <cfRule type="expression" dxfId="8811" priority="22422">
      <formula>IF($B35="Quoting",TRUE,FALSE)</formula>
    </cfRule>
    <cfRule type="expression" dxfId="8810" priority="22423">
      <formula>IF($B35="Quoting",TRUE,FALSE)</formula>
    </cfRule>
    <cfRule type="expression" dxfId="8809" priority="22424">
      <formula>IF($B35="Quoting",TRUE,FALSE)</formula>
    </cfRule>
    <cfRule type="expression" dxfId="8808" priority="22425">
      <formula>IF($B35="Quoting",TRUE,FALSE)</formula>
    </cfRule>
    <cfRule type="expression" dxfId="8807" priority="22426">
      <formula>IF($B35="Quoting",TRUE,FALSE)</formula>
    </cfRule>
    <cfRule type="expression" dxfId="8806" priority="22427">
      <formula>IF($B35="Quoting",TRUE,FALSE)</formula>
    </cfRule>
    <cfRule type="expression" dxfId="8805" priority="22428">
      <formula>IF($B35="Quoting",TRUE,FALSE)</formula>
    </cfRule>
    <cfRule type="expression" dxfId="8804" priority="22429">
      <formula>IF($B35="Quoting",TRUE,FALSE)</formula>
    </cfRule>
    <cfRule type="expression" dxfId="8803" priority="22430">
      <formula>IF($B35="Quoting",TRUE,FALSE)</formula>
    </cfRule>
    <cfRule type="expression" dxfId="8802" priority="22431">
      <formula>IF($B35="Quoting",TRUE,FALSE)</formula>
    </cfRule>
    <cfRule type="expression" dxfId="8801" priority="22432">
      <formula>IF($B35="Quoting",TRUE,FALSE)</formula>
    </cfRule>
    <cfRule type="expression" dxfId="8800" priority="22433">
      <formula>IF($B35="Quoting",TRUE,FALSE)</formula>
    </cfRule>
    <cfRule type="expression" dxfId="8799" priority="22434">
      <formula>IF($B35="Quoting",TRUE,FALSE)</formula>
    </cfRule>
    <cfRule type="expression" dxfId="8798" priority="22435">
      <formula>IF($B35="Quoting",TRUE,FALSE)</formula>
    </cfRule>
    <cfRule type="expression" dxfId="8797" priority="22436">
      <formula>IF($B35="Quoting",TRUE,FALSE)</formula>
    </cfRule>
    <cfRule type="expression" dxfId="8796" priority="22437">
      <formula>IF($B35="Quoting",TRUE,FALSE)</formula>
    </cfRule>
    <cfRule type="expression" dxfId="8795" priority="22438">
      <formula>IF($B35="Quoting",TRUE,FALSE)</formula>
    </cfRule>
    <cfRule type="expression" dxfId="8794" priority="22439">
      <formula>IF($B35="Quoting",TRUE,FALSE)</formula>
    </cfRule>
    <cfRule type="expression" dxfId="8793" priority="22440">
      <formula>IF($B35="Quoting",TRUE,FALSE)</formula>
    </cfRule>
    <cfRule type="expression" dxfId="8792" priority="22441">
      <formula>IF($B35="Quoting",TRUE,FALSE)</formula>
    </cfRule>
    <cfRule type="expression" dxfId="8791" priority="22442">
      <formula>IF($B35="Quoting",TRUE,FALSE)</formula>
    </cfRule>
    <cfRule type="expression" dxfId="8790" priority="22443">
      <formula>IF($B35="Quoting",TRUE,FALSE)</formula>
    </cfRule>
    <cfRule type="expression" dxfId="8789" priority="22444">
      <formula>IF($B35="Quoting",TRUE,FALSE)</formula>
    </cfRule>
    <cfRule type="expression" dxfId="8788" priority="22445">
      <formula>IF($B35="Quoting",TRUE,FALSE)</formula>
    </cfRule>
    <cfRule type="expression" dxfId="8787" priority="22446">
      <formula>IF($B35="Quoting",TRUE,FALSE)</formula>
    </cfRule>
    <cfRule type="expression" dxfId="8786" priority="22447">
      <formula>IF($B35="Quoting",TRUE,FALSE)</formula>
    </cfRule>
    <cfRule type="expression" dxfId="8785" priority="22448">
      <formula>IF($B35="Quoting",TRUE,FALSE)</formula>
    </cfRule>
    <cfRule type="expression" dxfId="8784" priority="22449">
      <formula>IF($B35="Quoting",TRUE,FALSE)</formula>
    </cfRule>
    <cfRule type="expression" dxfId="8783" priority="22450">
      <formula>IF($B35="Quoting",TRUE,FALSE)</formula>
    </cfRule>
    <cfRule type="expression" dxfId="8782" priority="22451">
      <formula>IF($B35="Quoting",TRUE,FALSE)</formula>
    </cfRule>
    <cfRule type="expression" dxfId="8781" priority="22452">
      <formula>IF($B35="Quoting",TRUE,FALSE)</formula>
    </cfRule>
    <cfRule type="expression" dxfId="8780" priority="22453">
      <formula>IF($B35="Quoting",TRUE,FALSE)</formula>
    </cfRule>
    <cfRule type="expression" dxfId="8779" priority="22454">
      <formula>IF($B35="Quoting",TRUE,FALSE)</formula>
    </cfRule>
    <cfRule type="expression" dxfId="8778" priority="22455">
      <formula>IF($B35="Quoting",TRUE,FALSE)</formula>
    </cfRule>
    <cfRule type="expression" dxfId="8777" priority="22456">
      <formula>IF($B35="Quoting",TRUE,FALSE)</formula>
    </cfRule>
    <cfRule type="expression" dxfId="8776" priority="22457">
      <formula>IF($B35="Quoting",TRUE,FALSE)</formula>
    </cfRule>
    <cfRule type="expression" dxfId="8775" priority="22458">
      <formula>IF($B35="Quoting",TRUE,FALSE)</formula>
    </cfRule>
    <cfRule type="expression" dxfId="8774" priority="22459">
      <formula>IF($B35="Quoting",TRUE,FALSE)</formula>
    </cfRule>
    <cfRule type="expression" dxfId="8773" priority="22460">
      <formula>IF($B35="Quoting",TRUE,FALSE)</formula>
    </cfRule>
    <cfRule type="expression" dxfId="8772" priority="22461">
      <formula>IF($B35="Quoting",TRUE,FALSE)</formula>
    </cfRule>
    <cfRule type="expression" dxfId="8771" priority="22462">
      <formula>IF($B35="Quoting",TRUE,FALSE)</formula>
    </cfRule>
    <cfRule type="expression" dxfId="8770" priority="22463">
      <formula>IF($B35="Quoting",TRUE,FALSE)</formula>
    </cfRule>
    <cfRule type="expression" dxfId="8769" priority="22464">
      <formula>IF($B35="Quoting",TRUE,FALSE)</formula>
    </cfRule>
    <cfRule type="expression" dxfId="8768" priority="22465">
      <formula>IF($B35="Quoting",TRUE,FALSE)</formula>
    </cfRule>
    <cfRule type="expression" dxfId="8767" priority="22466">
      <formula>IF($B35="Quoting",TRUE,FALSE)</formula>
    </cfRule>
    <cfRule type="expression" dxfId="8766" priority="22467">
      <formula>IF($B35="Quoting",TRUE,FALSE)</formula>
    </cfRule>
    <cfRule type="expression" dxfId="8765" priority="22468">
      <formula>IF($B35="Quoting",TRUE,FALSE)</formula>
    </cfRule>
    <cfRule type="expression" dxfId="8764" priority="22469">
      <formula>IF($B35="Quoting",TRUE,FALSE)</formula>
    </cfRule>
    <cfRule type="expression" dxfId="8763" priority="22470">
      <formula>IF($B35="Quoting",TRUE,FALSE)</formula>
    </cfRule>
    <cfRule type="expression" dxfId="8762" priority="22471">
      <formula>IF($B35="Quoting",TRUE,FALSE)</formula>
    </cfRule>
    <cfRule type="expression" dxfId="8761" priority="22472">
      <formula>IF($B35="Quoting",TRUE,FALSE)</formula>
    </cfRule>
    <cfRule type="expression" dxfId="8760" priority="22473">
      <formula>IF($B35="Quoting",TRUE,FALSE)</formula>
    </cfRule>
    <cfRule type="expression" dxfId="8759" priority="22474">
      <formula>IF($B35="Quoting",TRUE,FALSE)</formula>
    </cfRule>
    <cfRule type="expression" dxfId="8758" priority="22475">
      <formula>IF($B35="Quoting",TRUE,FALSE)</formula>
    </cfRule>
    <cfRule type="expression" dxfId="8757" priority="22476">
      <formula>IF($B35="Quoting",TRUE,FALSE)</formula>
    </cfRule>
    <cfRule type="expression" dxfId="8756" priority="22477">
      <formula>IF($B35="Quoting",TRUE,FALSE)</formula>
    </cfRule>
    <cfRule type="expression" dxfId="8755" priority="22478">
      <formula>IF($B35="Quoting",TRUE,FALSE)</formula>
    </cfRule>
    <cfRule type="expression" dxfId="8754" priority="22479">
      <formula>IF($B35="Quoting",TRUE,FALSE)</formula>
    </cfRule>
    <cfRule type="expression" dxfId="8753" priority="22480">
      <formula>IF($B35="Quoting",TRUE,FALSE)</formula>
    </cfRule>
    <cfRule type="expression" dxfId="8752" priority="22481">
      <formula>IF($B35="Quoting",TRUE,FALSE)</formula>
    </cfRule>
    <cfRule type="expression" dxfId="8751" priority="22482">
      <formula>IF($B35="Quoting",TRUE,FALSE)</formula>
    </cfRule>
    <cfRule type="expression" dxfId="8750" priority="22483">
      <formula>IF($B35="Quoting",TRUE,FALSE)</formula>
    </cfRule>
    <cfRule type="expression" dxfId="8749" priority="22484">
      <formula>IF($B35="Quoting",TRUE,FALSE)</formula>
    </cfRule>
    <cfRule type="expression" dxfId="8748" priority="22485">
      <formula>IF($B35="Quoting",TRUE,FALSE)</formula>
    </cfRule>
    <cfRule type="expression" dxfId="8747" priority="22486">
      <formula>IF($B35="Quoting",TRUE,FALSE)</formula>
    </cfRule>
    <cfRule type="expression" dxfId="8746" priority="22487">
      <formula>IF($B35="Quoting",TRUE,FALSE)</formula>
    </cfRule>
    <cfRule type="expression" dxfId="8745" priority="22488">
      <formula>IF($B35="Quoting",TRUE,FALSE)</formula>
    </cfRule>
    <cfRule type="expression" dxfId="8744" priority="22489">
      <formula>IF($B35="Quoting",TRUE,FALSE)</formula>
    </cfRule>
    <cfRule type="expression" dxfId="8743" priority="22490">
      <formula>IF($B35="Quoting",TRUE,FALSE)</formula>
    </cfRule>
    <cfRule type="expression" dxfId="8742" priority="22491">
      <formula>IF($B35="Quoting",TRUE,FALSE)</formula>
    </cfRule>
    <cfRule type="expression" dxfId="8741" priority="22492">
      <formula>IF($B35="Quoting",TRUE,FALSE)</formula>
    </cfRule>
    <cfRule type="expression" dxfId="8740" priority="22493">
      <formula>IF($B35="Quoting",TRUE,FALSE)</formula>
    </cfRule>
    <cfRule type="expression" dxfId="8739" priority="22494">
      <formula>IF($B35="Quoting",TRUE,FALSE)</formula>
    </cfRule>
    <cfRule type="expression" dxfId="8738" priority="22495">
      <formula>IF($B35="Quoting",TRUE,FALSE)</formula>
    </cfRule>
    <cfRule type="expression" dxfId="8737" priority="22496">
      <formula>IF($B35="Quoting",TRUE,FALSE)</formula>
    </cfRule>
    <cfRule type="expression" dxfId="8736" priority="22497">
      <formula>IF($B35="Quoting",TRUE,FALSE)</formula>
    </cfRule>
    <cfRule type="expression" dxfId="8735" priority="22498">
      <formula>IF($B35="Quoting",TRUE,FALSE)</formula>
    </cfRule>
    <cfRule type="expression" dxfId="8734" priority="22499">
      <formula>IF($B35="Quoting",TRUE,FALSE)</formula>
    </cfRule>
    <cfRule type="expression" dxfId="8733" priority="22500">
      <formula>IF($B35="Quoting",TRUE,FALSE)</formula>
    </cfRule>
    <cfRule type="expression" dxfId="8732" priority="22501">
      <formula>IF($B35="Quoting",TRUE,FALSE)</formula>
    </cfRule>
    <cfRule type="expression" dxfId="8731" priority="22502">
      <formula>IF($B35="Quoting",TRUE,FALSE)</formula>
    </cfRule>
    <cfRule type="expression" dxfId="8730" priority="22503">
      <formula>IF($B35="Quoting",TRUE,FALSE)</formula>
    </cfRule>
    <cfRule type="expression" dxfId="8729" priority="22504">
      <formula>IF($B35="Quoting",TRUE,FALSE)</formula>
    </cfRule>
    <cfRule type="expression" dxfId="8728" priority="22505">
      <formula>IF($B35="Quoting",TRUE,FALSE)</formula>
    </cfRule>
    <cfRule type="expression" dxfId="8727" priority="22506">
      <formula>IF($B35="Quoting",TRUE,FALSE)</formula>
    </cfRule>
    <cfRule type="expression" dxfId="8726" priority="22507">
      <formula>IF($B35="Quoting",TRUE,FALSE)</formula>
    </cfRule>
    <cfRule type="expression" dxfId="8725" priority="22508">
      <formula>IF($B35="Quoting",TRUE,FALSE)</formula>
    </cfRule>
    <cfRule type="expression" dxfId="8724" priority="22509">
      <formula>IF($B35="Quoting",TRUE,FALSE)</formula>
    </cfRule>
    <cfRule type="expression" dxfId="8723" priority="22510">
      <formula>IF($B35="Quoting",TRUE,FALSE)</formula>
    </cfRule>
    <cfRule type="expression" dxfId="8722" priority="22511">
      <formula>IF($B35="Quoting",TRUE,FALSE)</formula>
    </cfRule>
    <cfRule type="expression" dxfId="8721" priority="22512">
      <formula>IF($B35="Quoting",TRUE,FALSE)</formula>
    </cfRule>
    <cfRule type="expression" dxfId="8720" priority="22513">
      <formula>IF($B35="Quoting",TRUE,FALSE)</formula>
    </cfRule>
    <cfRule type="expression" dxfId="8719" priority="22514">
      <formula>IF($B35="Quoting",TRUE,FALSE)</formula>
    </cfRule>
    <cfRule type="expression" dxfId="8718" priority="22515">
      <formula>IF($B35="Quoting",TRUE,FALSE)</formula>
    </cfRule>
    <cfRule type="expression" dxfId="8717" priority="22516">
      <formula>IF($B35="Quoting",TRUE,FALSE)</formula>
    </cfRule>
    <cfRule type="expression" dxfId="8716" priority="22517">
      <formula>IF($B35="Quoting",TRUE,FALSE)</formula>
    </cfRule>
    <cfRule type="expression" dxfId="8715" priority="22518">
      <formula>IF($B35="Quoting",TRUE,FALSE)</formula>
    </cfRule>
    <cfRule type="expression" dxfId="8714" priority="22519">
      <formula>IF($B35="Quoting",TRUE,FALSE)</formula>
    </cfRule>
    <cfRule type="expression" dxfId="8713" priority="22520">
      <formula>IF($B35="Quoting",TRUE,FALSE)</formula>
    </cfRule>
    <cfRule type="expression" dxfId="8712" priority="22521">
      <formula>IF($B35="Quoting",TRUE,FALSE)</formula>
    </cfRule>
    <cfRule type="expression" dxfId="8711" priority="22522">
      <formula>IF($B35="Quoting",TRUE,FALSE)</formula>
    </cfRule>
    <cfRule type="expression" dxfId="8710" priority="22523">
      <formula>IF($B35="Quoting",TRUE,FALSE)</formula>
    </cfRule>
    <cfRule type="expression" dxfId="8709" priority="22524">
      <formula>IF($B35="Quoting",TRUE,FALSE)</formula>
    </cfRule>
    <cfRule type="expression" dxfId="8708" priority="22525">
      <formula>IF($B35="Quoting",TRUE,FALSE)</formula>
    </cfRule>
    <cfRule type="expression" dxfId="8707" priority="22526">
      <formula>IF($B35="Quoting",TRUE,FALSE)</formula>
    </cfRule>
    <cfRule type="expression" dxfId="8706" priority="22527">
      <formula>IF($B35="Quoting",TRUE,FALSE)</formula>
    </cfRule>
    <cfRule type="expression" dxfId="8705" priority="22528">
      <formula>IF($B35="Quoting",TRUE,FALSE)</formula>
    </cfRule>
    <cfRule type="expression" dxfId="8704" priority="22529">
      <formula>IF($B35="Quoting",TRUE,FALSE)</formula>
    </cfRule>
    <cfRule type="expression" dxfId="8703" priority="22530">
      <formula>IF($B35="Quoting",TRUE,FALSE)</formula>
    </cfRule>
    <cfRule type="expression" dxfId="8702" priority="22531">
      <formula>IF($B35="Quoting",TRUE,FALSE)</formula>
    </cfRule>
    <cfRule type="expression" dxfId="8701" priority="22532">
      <formula>IF($B35="Quoting",TRUE,FALSE)</formula>
    </cfRule>
    <cfRule type="expression" dxfId="8700" priority="22533">
      <formula>IF($B35="Quoting",TRUE,FALSE)</formula>
    </cfRule>
    <cfRule type="expression" dxfId="8699" priority="22534">
      <formula>IF($B35="Quoting",TRUE,FALSE)</formula>
    </cfRule>
    <cfRule type="expression" dxfId="8698" priority="22535">
      <formula>IF($B35="Quoting",TRUE,FALSE)</formula>
    </cfRule>
    <cfRule type="expression" dxfId="8697" priority="22536">
      <formula>IF($B35="Quoting",TRUE,FALSE)</formula>
    </cfRule>
    <cfRule type="expression" dxfId="8696" priority="22537">
      <formula>IF($B35="Quoting",TRUE,FALSE)</formula>
    </cfRule>
    <cfRule type="expression" dxfId="8695" priority="22538">
      <formula>IF($B35="Quoting",TRUE,FALSE)</formula>
    </cfRule>
    <cfRule type="expression" dxfId="8694" priority="22539">
      <formula>IF($B35="Quoting",TRUE,FALSE)</formula>
    </cfRule>
    <cfRule type="expression" dxfId="8693" priority="22540">
      <formula>IF($B35="Quoting",TRUE,FALSE)</formula>
    </cfRule>
    <cfRule type="expression" dxfId="8692" priority="22541">
      <formula>IF($B35="Quoting",TRUE,FALSE)</formula>
    </cfRule>
    <cfRule type="expression" dxfId="8691" priority="22542">
      <formula>IF($B35="Quoting",TRUE,FALSE)</formula>
    </cfRule>
    <cfRule type="expression" dxfId="8690" priority="22543">
      <formula>IF($B35="Quoting",TRUE,FALSE)</formula>
    </cfRule>
    <cfRule type="expression" dxfId="8689" priority="22544">
      <formula>IF($B35="Quoting",TRUE,FALSE)</formula>
    </cfRule>
    <cfRule type="expression" dxfId="8688" priority="22545">
      <formula>IF($B35="Quoting",TRUE,FALSE)</formula>
    </cfRule>
    <cfRule type="expression" dxfId="8687" priority="22546">
      <formula>IF($B35="Quoting",TRUE,FALSE)</formula>
    </cfRule>
    <cfRule type="expression" dxfId="8686" priority="22547">
      <formula>IF($B35="Quoting",TRUE,FALSE)</formula>
    </cfRule>
    <cfRule type="expression" dxfId="8685" priority="22548">
      <formula>IF($B35="Quoting",TRUE,FALSE)</formula>
    </cfRule>
    <cfRule type="expression" dxfId="8684" priority="22549">
      <formula>IF($B35="Quoting",TRUE,FALSE)</formula>
    </cfRule>
    <cfRule type="expression" dxfId="8683" priority="22550">
      <formula>IF($B35="Quoting",TRUE,FALSE)</formula>
    </cfRule>
    <cfRule type="expression" dxfId="8682" priority="22551">
      <formula>IF($B35="Quoting",TRUE,FALSE)</formula>
    </cfRule>
    <cfRule type="expression" dxfId="8681" priority="22552">
      <formula>IF($B35="Quoting",TRUE,FALSE)</formula>
    </cfRule>
    <cfRule type="expression" dxfId="8680" priority="22553">
      <formula>IF($B35="Quoting",TRUE,FALSE)</formula>
    </cfRule>
    <cfRule type="expression" dxfId="8679" priority="22554">
      <formula>IF($B35="Quoting",TRUE,FALSE)</formula>
    </cfRule>
    <cfRule type="expression" dxfId="8678" priority="22555">
      <formula>IF($B35="Quoting",TRUE,FALSE)</formula>
    </cfRule>
    <cfRule type="expression" dxfId="8677" priority="22556">
      <formula>IF($B35="Quoting",TRUE,FALSE)</formula>
    </cfRule>
    <cfRule type="expression" dxfId="8676" priority="22557">
      <formula>IF($B35="Quoting",TRUE,FALSE)</formula>
    </cfRule>
    <cfRule type="expression" dxfId="8675" priority="22558">
      <formula>IF($B35="Quoting",TRUE,FALSE)</formula>
    </cfRule>
    <cfRule type="expression" dxfId="8674" priority="22559">
      <formula>IF($B35="Quoting",TRUE,FALSE)</formula>
    </cfRule>
    <cfRule type="expression" dxfId="8673" priority="22560">
      <formula>IF($B35="Quoting",TRUE,FALSE)</formula>
    </cfRule>
    <cfRule type="expression" dxfId="8672" priority="22561">
      <formula>IF($B35="Quoting",TRUE,FALSE)</formula>
    </cfRule>
    <cfRule type="expression" dxfId="8671" priority="22562">
      <formula>IF($B35="Quoting",TRUE,FALSE)</formula>
    </cfRule>
    <cfRule type="expression" dxfId="8670" priority="22563">
      <formula>IF($B35="Quoting",TRUE,FALSE)</formula>
    </cfRule>
    <cfRule type="expression" dxfId="8669" priority="22564">
      <formula>IF($B35="Quoting",TRUE,FALSE)</formula>
    </cfRule>
    <cfRule type="expression" dxfId="8668" priority="22565">
      <formula>IF($B35="Quoting",TRUE,FALSE)</formula>
    </cfRule>
    <cfRule type="expression" dxfId="8667" priority="22566">
      <formula>IF($B35="Quoting",TRUE,FALSE)</formula>
    </cfRule>
    <cfRule type="expression" dxfId="8666" priority="22567">
      <formula>IF($B35="Quoting",TRUE,FALSE)</formula>
    </cfRule>
    <cfRule type="expression" dxfId="8665" priority="22568">
      <formula>IF($B35="Quoting",TRUE,FALSE)</formula>
    </cfRule>
    <cfRule type="expression" dxfId="8664" priority="22569">
      <formula>IF($B35="Quoting",TRUE,FALSE)</formula>
    </cfRule>
    <cfRule type="expression" dxfId="8663" priority="22570">
      <formula>IF($B35="Quoting",TRUE,FALSE)</formula>
    </cfRule>
    <cfRule type="expression" dxfId="8662" priority="22571">
      <formula>IF($B35="Quoting",TRUE,FALSE)</formula>
    </cfRule>
    <cfRule type="expression" dxfId="8661" priority="22572">
      <formula>IF($B35="Quoting",TRUE,FALSE)</formula>
    </cfRule>
    <cfRule type="expression" dxfId="8660" priority="22573">
      <formula>IF($B35="Quoting",TRUE,FALSE)</formula>
    </cfRule>
    <cfRule type="expression" dxfId="8659" priority="22574">
      <formula>IF($B35="Quoting",TRUE,FALSE)</formula>
    </cfRule>
    <cfRule type="expression" dxfId="8658" priority="22575">
      <formula>IF($B35="Quoting",TRUE,FALSE)</formula>
    </cfRule>
    <cfRule type="expression" dxfId="8657" priority="22576">
      <formula>IF($B35="Quoting",TRUE,FALSE)</formula>
    </cfRule>
    <cfRule type="expression" dxfId="8656" priority="22577">
      <formula>IF($B35="Quoting",TRUE,FALSE)</formula>
    </cfRule>
    <cfRule type="expression" dxfId="8655" priority="22578">
      <formula>IF($B35="Quoting",TRUE,FALSE)</formula>
    </cfRule>
    <cfRule type="expression" dxfId="8654" priority="22579">
      <formula>IF($B35="Quoting",TRUE,FALSE)</formula>
    </cfRule>
    <cfRule type="expression" dxfId="8653" priority="22580">
      <formula>IF($B35="Quoting",TRUE,FALSE)</formula>
    </cfRule>
    <cfRule type="expression" dxfId="8652" priority="22581">
      <formula>IF($B35="Quoting",TRUE,FALSE)</formula>
    </cfRule>
    <cfRule type="expression" dxfId="8651" priority="22582">
      <formula>IF($B35="Quoting",TRUE,FALSE)</formula>
    </cfRule>
    <cfRule type="expression" dxfId="8650" priority="22583">
      <formula>IF($B35="Quoting",TRUE,FALSE)</formula>
    </cfRule>
    <cfRule type="expression" dxfId="8649" priority="22584">
      <formula>IF($B35="Quoting",TRUE,FALSE)</formula>
    </cfRule>
    <cfRule type="expression" dxfId="8648" priority="22585">
      <formula>IF($B35="Quoting",TRUE,FALSE)</formula>
    </cfRule>
    <cfRule type="expression" dxfId="8647" priority="22586">
      <formula>IF($B35="Quoting",TRUE,FALSE)</formula>
    </cfRule>
    <cfRule type="expression" dxfId="8646" priority="22587">
      <formula>IF($B35="Quoting",TRUE,FALSE)</formula>
    </cfRule>
    <cfRule type="expression" dxfId="8645" priority="22588">
      <formula>IF($B35="Quoting",TRUE,FALSE)</formula>
    </cfRule>
    <cfRule type="expression" dxfId="8644" priority="22589">
      <formula>IF($B35="Quoting",TRUE,FALSE)</formula>
    </cfRule>
    <cfRule type="expression" dxfId="8643" priority="22590">
      <formula>IF($B35="Quoting",TRUE,FALSE)</formula>
    </cfRule>
    <cfRule type="expression" dxfId="8642" priority="22591">
      <formula>IF($B35="Quoting",TRUE,FALSE)</formula>
    </cfRule>
    <cfRule type="expression" dxfId="8641" priority="22592">
      <formula>IF($B35="Quoting",TRUE,FALSE)</formula>
    </cfRule>
    <cfRule type="expression" dxfId="8640" priority="22593">
      <formula>IF($B35="Quoting",TRUE,FALSE)</formula>
    </cfRule>
    <cfRule type="expression" dxfId="8639" priority="22594">
      <formula>IF($B35="Quoting",TRUE,FALSE)</formula>
    </cfRule>
    <cfRule type="expression" dxfId="8638" priority="22595">
      <formula>IF($B35="Quoting",TRUE,FALSE)</formula>
    </cfRule>
    <cfRule type="expression" dxfId="8637" priority="22596">
      <formula>IF($B35="Quoting",TRUE,FALSE)</formula>
    </cfRule>
    <cfRule type="expression" dxfId="8636" priority="22597">
      <formula>IF($B35="Quoting",TRUE,FALSE)</formula>
    </cfRule>
    <cfRule type="expression" dxfId="8635" priority="22598">
      <formula>IF($B35="Quoting",TRUE,FALSE)</formula>
    </cfRule>
    <cfRule type="expression" dxfId="8634" priority="22599">
      <formula>IF($B35="Quoting",TRUE,FALSE)</formula>
    </cfRule>
    <cfRule type="expression" dxfId="8633" priority="22600">
      <formula>IF($B35="Quoting",TRUE,FALSE)</formula>
    </cfRule>
    <cfRule type="expression" dxfId="8632" priority="22601">
      <formula>IF($B35="Quoting",TRUE,FALSE)</formula>
    </cfRule>
    <cfRule type="expression" dxfId="8631" priority="22602">
      <formula>IF($B35="Quoting",TRUE,FALSE)</formula>
    </cfRule>
    <cfRule type="expression" dxfId="8630" priority="22603">
      <formula>IF($B35="Quoting",TRUE,FALSE)</formula>
    </cfRule>
    <cfRule type="expression" dxfId="8629" priority="22604">
      <formula>IF($B35="Quoting",TRUE,FALSE)</formula>
    </cfRule>
    <cfRule type="expression" dxfId="8628" priority="22605">
      <formula>IF($B35="Quoting",TRUE,FALSE)</formula>
    </cfRule>
    <cfRule type="expression" dxfId="8627" priority="22606">
      <formula>IF($B35="Quoting",TRUE,FALSE)</formula>
    </cfRule>
    <cfRule type="expression" dxfId="8626" priority="22607">
      <formula>IF($B35="Quoting",TRUE,FALSE)</formula>
    </cfRule>
    <cfRule type="expression" dxfId="8625" priority="22608">
      <formula>IF($B35="Quoting",TRUE,FALSE)</formula>
    </cfRule>
    <cfRule type="expression" dxfId="8624" priority="22609">
      <formula>IF($B35="Quoting",TRUE,FALSE)</formula>
    </cfRule>
    <cfRule type="expression" dxfId="8623" priority="22610">
      <formula>IF($B35="Quoting",TRUE,FALSE)</formula>
    </cfRule>
    <cfRule type="expression" dxfId="8622" priority="22611">
      <formula>IF($B35="Quoting",TRUE,FALSE)</formula>
    </cfRule>
    <cfRule type="expression" dxfId="8621" priority="22612">
      <formula>IF($B35="Quoting",TRUE,FALSE)</formula>
    </cfRule>
    <cfRule type="expression" dxfId="8620" priority="22613">
      <formula>IF($B35="Quoting",TRUE,FALSE)</formula>
    </cfRule>
    <cfRule type="expression" dxfId="8619" priority="22614">
      <formula>IF($B35="VOID",TRUE,FALSE)</formula>
    </cfRule>
    <cfRule type="expression" dxfId="8618" priority="22615">
      <formula>IF($B35="VOID",TRUE,FALSE)</formula>
    </cfRule>
    <cfRule type="expression" dxfId="8617" priority="22616">
      <formula>IF($B35="VOID",TRUE,FALSE)</formula>
    </cfRule>
    <cfRule type="expression" dxfId="8616" priority="22617">
      <formula>IF($B35="Quoting",TRUE,FALSE)</formula>
    </cfRule>
    <cfRule type="expression" dxfId="8615" priority="22618">
      <formula>IF($B35="Quoting",TRUE,FALSE)</formula>
    </cfRule>
    <cfRule type="expression" dxfId="8614" priority="22619">
      <formula>IF($B35="Quoting",TRUE,FALSE)</formula>
    </cfRule>
    <cfRule type="expression" dxfId="8613" priority="22620">
      <formula>IF($B35="Quoting",TRUE,FALSE)</formula>
    </cfRule>
    <cfRule type="expression" dxfId="8612" priority="22621">
      <formula>IF($B35="Quoting",TRUE,FALSE)</formula>
    </cfRule>
    <cfRule type="expression" dxfId="8611" priority="22622">
      <formula>IF($B35="Quoting",TRUE,FALSE)</formula>
    </cfRule>
    <cfRule type="expression" dxfId="8610" priority="22623">
      <formula>IF($B35="Quoting",TRUE,FALSE)</formula>
    </cfRule>
    <cfRule type="expression" dxfId="8609" priority="22624">
      <formula>IF($B35="Quoting",TRUE,FALSE)</formula>
    </cfRule>
    <cfRule type="expression" dxfId="8608" priority="22625">
      <formula>IF($B35="Quoting",TRUE,FALSE)</formula>
    </cfRule>
    <cfRule type="expression" dxfId="8607" priority="22626">
      <formula>IF($B35="Quoting",TRUE,FALSE)</formula>
    </cfRule>
    <cfRule type="expression" dxfId="8606" priority="22627">
      <formula>IF($B35="Quoting",TRUE,FALSE)</formula>
    </cfRule>
    <cfRule type="expression" dxfId="8605" priority="22628">
      <formula>IF($B35="Quoting",TRUE,FALSE)</formula>
    </cfRule>
    <cfRule type="expression" dxfId="8604" priority="22629">
      <formula>IF($B35="Quoting",TRUE,FALSE)</formula>
    </cfRule>
    <cfRule type="expression" dxfId="8603" priority="22630">
      <formula>IF($B35="Quoting",TRUE,FALSE)</formula>
    </cfRule>
    <cfRule type="expression" dxfId="8602" priority="22631">
      <formula>IF($B35="Quoting",TRUE,FALSE)</formula>
    </cfRule>
    <cfRule type="expression" dxfId="8601" priority="22632">
      <formula>IF($B35="Quoting",TRUE,FALSE)</formula>
    </cfRule>
    <cfRule type="expression" dxfId="8600" priority="22633">
      <formula>IF($B35="Quoting",TRUE,FALSE)</formula>
    </cfRule>
    <cfRule type="expression" dxfId="8599" priority="22634">
      <formula>IF($B35="Quoting",TRUE,FALSE)</formula>
    </cfRule>
    <cfRule type="expression" dxfId="8598" priority="22635">
      <formula>IF($B35="Quoting",TRUE,FALSE)</formula>
    </cfRule>
    <cfRule type="expression" dxfId="8597" priority="22636">
      <formula>IF($B35="VOID",TRUE,FALSE)</formula>
    </cfRule>
    <cfRule type="expression" dxfId="8596" priority="22637">
      <formula>IF($B35="VOID",TRUE,FALSE)</formula>
    </cfRule>
    <cfRule type="expression" dxfId="8595" priority="22638">
      <formula>IF($B35="Quoting",TRUE,FALSE)</formula>
    </cfRule>
    <cfRule type="expression" dxfId="8594" priority="22639">
      <formula>IF($B35="Quoting",TRUE,FALSE)</formula>
    </cfRule>
    <cfRule type="expression" dxfId="8593" priority="22640">
      <formula>IF($B35="Quoting",TRUE,FALSE)</formula>
    </cfRule>
    <cfRule type="expression" dxfId="8592" priority="22641">
      <formula>IF($B35="Quoting",TRUE,FALSE)</formula>
    </cfRule>
    <cfRule type="expression" dxfId="8591" priority="22642">
      <formula>IF($B35="Quoting",TRUE,FALSE)</formula>
    </cfRule>
    <cfRule type="expression" dxfId="8590" priority="22643">
      <formula>IF($B35="Quoting",TRUE,FALSE)</formula>
    </cfRule>
    <cfRule type="expression" dxfId="8589" priority="22644">
      <formula>IF($B35="Quoting",TRUE,FALSE)</formula>
    </cfRule>
    <cfRule type="expression" dxfId="8588" priority="22645">
      <formula>IF($B35="Quoting",TRUE,FALSE)</formula>
    </cfRule>
    <cfRule type="expression" dxfId="8587" priority="22646">
      <formula>IF($B35="Quoting",TRUE,FALSE)</formula>
    </cfRule>
    <cfRule type="expression" dxfId="8586" priority="22647">
      <formula>IF($B35="Quoting",TRUE,FALSE)</formula>
    </cfRule>
    <cfRule type="expression" dxfId="8585" priority="22648">
      <formula>IF($B35="Quoting",TRUE,FALSE)</formula>
    </cfRule>
    <cfRule type="expression" dxfId="8584" priority="22649">
      <formula>IF($B35="Quoting",TRUE,FALSE)</formula>
    </cfRule>
    <cfRule type="expression" dxfId="8583" priority="22650">
      <formula>IF($B35="Quoting",TRUE,FALSE)</formula>
    </cfRule>
    <cfRule type="expression" dxfId="8582" priority="22651">
      <formula>IF($B35="Quoting",TRUE,FALSE)</formula>
    </cfRule>
    <cfRule type="expression" dxfId="8581" priority="22652">
      <formula>IF($B35="Quoting",TRUE,FALSE)</formula>
    </cfRule>
    <cfRule type="expression" dxfId="8580" priority="22653">
      <formula>IF($B35="Quoting",TRUE,FALSE)</formula>
    </cfRule>
    <cfRule type="expression" dxfId="8579" priority="22654">
      <formula>IF($B35="Quoting",TRUE,FALSE)</formula>
    </cfRule>
    <cfRule type="expression" dxfId="8578" priority="22655">
      <formula>IF($B35="Quoting",TRUE,FALSE)</formula>
    </cfRule>
    <cfRule type="expression" dxfId="8577" priority="22656">
      <formula>IF($B35="Quoting",TRUE,FALSE)</formula>
    </cfRule>
    <cfRule type="expression" dxfId="8576" priority="22657">
      <formula>IF($B35="Quoting",TRUE,FALSE)</formula>
    </cfRule>
    <cfRule type="expression" dxfId="8575" priority="22658">
      <formula>IF($B35="Quoting",TRUE,FALSE)</formula>
    </cfRule>
    <cfRule type="expression" dxfId="8574" priority="22659">
      <formula>IF($B35="VOID",TRUE,FALSE)</formula>
    </cfRule>
    <cfRule type="expression" dxfId="8573" priority="22660">
      <formula>IF($B35="Quoting",TRUE,FALSE)</formula>
    </cfRule>
    <cfRule type="expression" dxfId="8572" priority="22661">
      <formula>IF($B35="Quoting",TRUE,FALSE)</formula>
    </cfRule>
    <cfRule type="expression" dxfId="8571" priority="22662">
      <formula>IF($B35="Quoting",TRUE,FALSE)</formula>
    </cfRule>
    <cfRule type="expression" dxfId="8570" priority="22663">
      <formula>IF($B35="Quoting",TRUE,FALSE)</formula>
    </cfRule>
    <cfRule type="expression" dxfId="8569" priority="22664">
      <formula>IF($B35="Quoting",TRUE,FALSE)</formula>
    </cfRule>
    <cfRule type="expression" dxfId="8568" priority="22665">
      <formula>IF($B35="Quoting",TRUE,FALSE)</formula>
    </cfRule>
    <cfRule type="expression" dxfId="8567" priority="22666">
      <formula>IF($B35="Quoting",TRUE,FALSE)</formula>
    </cfRule>
    <cfRule type="expression" dxfId="8566" priority="22667">
      <formula>IF($B35="Quoting",TRUE,FALSE)</formula>
    </cfRule>
    <cfRule type="expression" dxfId="8565" priority="22668">
      <formula>IF($B35="Quoting",TRUE,FALSE)</formula>
    </cfRule>
    <cfRule type="expression" dxfId="8564" priority="22669">
      <formula>IF($B35="Quoting",TRUE,FALSE)</formula>
    </cfRule>
    <cfRule type="expression" dxfId="8563" priority="22670">
      <formula>IF($B35="Quoting",TRUE,FALSE)</formula>
    </cfRule>
    <cfRule type="expression" dxfId="8562" priority="22671">
      <formula>IF($B35="Quoting",TRUE,FALSE)</formula>
    </cfRule>
    <cfRule type="expression" dxfId="8561" priority="22672">
      <formula>IF($B35="Quoting",TRUE,FALSE)</formula>
    </cfRule>
    <cfRule type="expression" dxfId="8560" priority="22673">
      <formula>IF($B35="Quoting",TRUE,FALSE)</formula>
    </cfRule>
    <cfRule type="expression" dxfId="8559" priority="22674">
      <formula>IF($B35="Quoting",TRUE,FALSE)</formula>
    </cfRule>
    <cfRule type="expression" dxfId="8558" priority="22675">
      <formula>IF($B35="Quoting",TRUE,FALSE)</formula>
    </cfRule>
    <cfRule type="expression" dxfId="8557" priority="22676">
      <formula>IF($B35="Quoting",TRUE,FALSE)</formula>
    </cfRule>
    <cfRule type="expression" dxfId="8556" priority="22677">
      <formula>IF($B35="Quoting",TRUE,FALSE)</formula>
    </cfRule>
    <cfRule type="expression" dxfId="8555" priority="22678">
      <formula>IF($B35="Quoting",TRUE,FALSE)</formula>
    </cfRule>
    <cfRule type="expression" dxfId="8554" priority="22679">
      <formula>IF($B35="Quoting",TRUE,FALSE)</formula>
    </cfRule>
    <cfRule type="expression" dxfId="8553" priority="22680">
      <formula>IF($B35="Quoting",TRUE,FALSE)</formula>
    </cfRule>
    <cfRule type="expression" dxfId="8552" priority="22681">
      <formula>IF($B35="Quoting",TRUE,FALSE)</formula>
    </cfRule>
    <cfRule type="expression" dxfId="8551" priority="22682">
      <formula>IF($B35="Quoting",TRUE,FALSE)</formula>
    </cfRule>
    <cfRule type="expression" dxfId="8550" priority="22683">
      <formula>IF($B35="Quoting",TRUE,FALSE)</formula>
    </cfRule>
    <cfRule type="expression" dxfId="8549" priority="22684">
      <formula>IF($B35="Quoting",TRUE,FALSE)</formula>
    </cfRule>
    <cfRule type="expression" dxfId="8548" priority="22685">
      <formula>IF($B35="Quoting",TRUE,FALSE)</formula>
    </cfRule>
    <cfRule type="expression" dxfId="8547" priority="22686">
      <formula>IF($B35="Quoting",TRUE,FALSE)</formula>
    </cfRule>
    <cfRule type="expression" dxfId="8546" priority="22687">
      <formula>IF($B35="Quoting",TRUE,FALSE)</formula>
    </cfRule>
    <cfRule type="expression" dxfId="8545" priority="22688">
      <formula>IF($B35="Quoting",TRUE,FALSE)</formula>
    </cfRule>
    <cfRule type="expression" dxfId="8544" priority="22689">
      <formula>IF($B35="Quoting",TRUE,FALSE)</formula>
    </cfRule>
    <cfRule type="expression" dxfId="8543" priority="22690">
      <formula>IF($B35="Quoting",TRUE,FALSE)</formula>
    </cfRule>
    <cfRule type="expression" dxfId="8542" priority="22691">
      <formula>IF($B35="Quoting",TRUE,FALSE)</formula>
    </cfRule>
    <cfRule type="expression" dxfId="8541" priority="22692">
      <formula>IF($B35="Quoting",TRUE,FALSE)</formula>
    </cfRule>
    <cfRule type="expression" dxfId="8540" priority="22693">
      <formula>IF($B35="Quoting",TRUE,FALSE)</formula>
    </cfRule>
    <cfRule type="expression" dxfId="8539" priority="22694">
      <formula>IF($B35="Quoting",TRUE,FALSE)</formula>
    </cfRule>
    <cfRule type="expression" dxfId="8538" priority="22695">
      <formula>IF($B35="Quoting",TRUE,FALSE)</formula>
    </cfRule>
    <cfRule type="expression" dxfId="8537" priority="22696">
      <formula>IF($B35="Quoting",TRUE,FALSE)</formula>
    </cfRule>
    <cfRule type="expression" dxfId="8536" priority="22697">
      <formula>IF($B35="Quoting",TRUE,FALSE)</formula>
    </cfRule>
    <cfRule type="expression" dxfId="8535" priority="22698">
      <formula>IF($B35="Quoting",TRUE,FALSE)</formula>
    </cfRule>
    <cfRule type="expression" dxfId="8534" priority="22699">
      <formula>IF($B35="Quoting",TRUE,FALSE)</formula>
    </cfRule>
    <cfRule type="expression" dxfId="8533" priority="22700">
      <formula>IF($B35="Quoting",TRUE,FALSE)</formula>
    </cfRule>
    <cfRule type="expression" dxfId="8532" priority="22701">
      <formula>IF($B35="Quoting",TRUE,FALSE)</formula>
    </cfRule>
    <cfRule type="expression" dxfId="8531" priority="22702">
      <formula>IF($B35="Quoting",TRUE,FALSE)</formula>
    </cfRule>
    <cfRule type="expression" dxfId="8530" priority="22703">
      <formula>IF($B35="Quoting",TRUE,FALSE)</formula>
    </cfRule>
    <cfRule type="expression" dxfId="8529" priority="22704">
      <formula>IF($B35="Quoting",TRUE,FALSE)</formula>
    </cfRule>
    <cfRule type="expression" dxfId="8528" priority="22705">
      <formula>IF($B35="Quoting",TRUE,FALSE)</formula>
    </cfRule>
    <cfRule type="expression" dxfId="8527" priority="22706">
      <formula>IF($B35="VOID",TRUE,FALSE)</formula>
    </cfRule>
    <cfRule type="expression" dxfId="8526" priority="22707">
      <formula>IF($B35="Quoting",TRUE,FALSE)</formula>
    </cfRule>
    <cfRule type="expression" dxfId="8525" priority="22708">
      <formula>IF($B35="Quoting",TRUE,FALSE)</formula>
    </cfRule>
    <cfRule type="expression" dxfId="8524" priority="22709">
      <formula>IF($B35="Quoting",TRUE,FALSE)</formula>
    </cfRule>
    <cfRule type="expression" dxfId="8523" priority="22710">
      <formula>IF($B35="Quoting",TRUE,FALSE)</formula>
    </cfRule>
    <cfRule type="expression" dxfId="8522" priority="22711">
      <formula>IF($B35="Quoting",TRUE,FALSE)</formula>
    </cfRule>
    <cfRule type="expression" dxfId="8521" priority="22712">
      <formula>IF($B35="Quoting",TRUE,FALSE)</formula>
    </cfRule>
    <cfRule type="expression" dxfId="8520" priority="22713">
      <formula>IF($B35="Quoting",TRUE,FALSE)</formula>
    </cfRule>
    <cfRule type="expression" dxfId="8519" priority="22714">
      <formula>IF($B35="Quoting",TRUE,FALSE)</formula>
    </cfRule>
    <cfRule type="expression" dxfId="8518" priority="22715">
      <formula>IF($B35="Quoting",TRUE,FALSE)</formula>
    </cfRule>
    <cfRule type="expression" dxfId="8517" priority="22716">
      <formula>IF($B35="Quoting",TRUE,FALSE)</formula>
    </cfRule>
    <cfRule type="expression" dxfId="8516" priority="22717">
      <formula>IF($B35="Quoting",TRUE,FALSE)</formula>
    </cfRule>
    <cfRule type="expression" dxfId="8515" priority="22718">
      <formula>IF($B35="Quoting",TRUE,FALSE)</formula>
    </cfRule>
    <cfRule type="expression" dxfId="8514" priority="22719">
      <formula>IF($B35="Quoting",TRUE,FALSE)</formula>
    </cfRule>
    <cfRule type="expression" dxfId="8513" priority="22720">
      <formula>IF($B35="Quoting",TRUE,FALSE)</formula>
    </cfRule>
    <cfRule type="expression" dxfId="8512" priority="22721">
      <formula>IF($B35="Quoting",TRUE,FALSE)</formula>
    </cfRule>
    <cfRule type="expression" dxfId="8511" priority="22722">
      <formula>IF($B35="Quoting",TRUE,FALSE)</formula>
    </cfRule>
    <cfRule type="expression" dxfId="8510" priority="22723">
      <formula>IF($B35="Quoting",TRUE,FALSE)</formula>
    </cfRule>
    <cfRule type="expression" dxfId="8509" priority="22724">
      <formula>IF($B35="Quoting",TRUE,FALSE)</formula>
    </cfRule>
    <cfRule type="expression" dxfId="8508" priority="22725">
      <formula>IF($B35="Quoting",TRUE,FALSE)</formula>
    </cfRule>
    <cfRule type="expression" dxfId="8507" priority="22726">
      <formula>IF($B35="Quoting",TRUE,FALSE)</formula>
    </cfRule>
    <cfRule type="expression" dxfId="8506" priority="22727">
      <formula>IF($B35="Quoting",TRUE,FALSE)</formula>
    </cfRule>
    <cfRule type="expression" dxfId="8505" priority="22728">
      <formula>IF($B35="Quoting",TRUE,FALSE)</formula>
    </cfRule>
    <cfRule type="expression" dxfId="8504" priority="22729">
      <formula>IF($B35="Quoting",TRUE,FALSE)</formula>
    </cfRule>
    <cfRule type="expression" dxfId="8503" priority="22730">
      <formula>IF($B35="Quoting",TRUE,FALSE)</formula>
    </cfRule>
    <cfRule type="expression" dxfId="8502" priority="22731">
      <formula>IF($B35="Quoting",TRUE,FALSE)</formula>
    </cfRule>
    <cfRule type="expression" dxfId="8501" priority="22732">
      <formula>IF($B35="Quoting",TRUE,FALSE)</formula>
    </cfRule>
    <cfRule type="expression" dxfId="8500" priority="22733">
      <formula>IF($B35="Quoting",TRUE,FALSE)</formula>
    </cfRule>
    <cfRule type="expression" dxfId="8499" priority="22734">
      <formula>IF($B35="Quoting",TRUE,FALSE)</formula>
    </cfRule>
    <cfRule type="expression" dxfId="8498" priority="22735">
      <formula>IF($B35="Quoting",TRUE,FALSE)</formula>
    </cfRule>
    <cfRule type="expression" dxfId="8497" priority="22736">
      <formula>IF($B35="Quoting",TRUE,FALSE)</formula>
    </cfRule>
    <cfRule type="expression" dxfId="8496" priority="22737">
      <formula>IF($B35="Quoting",TRUE,FALSE)</formula>
    </cfRule>
    <cfRule type="expression" dxfId="8495" priority="22738">
      <formula>IF($B35="Quoting",TRUE,FALSE)</formula>
    </cfRule>
    <cfRule type="expression" dxfId="8494" priority="22739">
      <formula>IF($B35="Quoting",TRUE,FALSE)</formula>
    </cfRule>
    <cfRule type="expression" dxfId="8493" priority="22740">
      <formula>IF($B35="Quoting",TRUE,FALSE)</formula>
    </cfRule>
    <cfRule type="expression" dxfId="8492" priority="22741">
      <formula>IF($B35="Quoting",TRUE,FALSE)</formula>
    </cfRule>
    <cfRule type="expression" dxfId="8491" priority="22742">
      <formula>IF($B35="Quoting",TRUE,FALSE)</formula>
    </cfRule>
    <cfRule type="expression" dxfId="8490" priority="22743">
      <formula>IF($B35="Quoting",TRUE,FALSE)</formula>
    </cfRule>
    <cfRule type="expression" dxfId="8489" priority="22744">
      <formula>IF($B35="Quoting",TRUE,FALSE)</formula>
    </cfRule>
    <cfRule type="expression" dxfId="8488" priority="22745">
      <formula>IF($B35="Quoting",TRUE,FALSE)</formula>
    </cfRule>
    <cfRule type="expression" dxfId="8487" priority="22746">
      <formula>IF($B35="Quoting",TRUE,FALSE)</formula>
    </cfRule>
    <cfRule type="expression" dxfId="8486" priority="22747">
      <formula>IF($B35="Quoting",TRUE,FALSE)</formula>
    </cfRule>
    <cfRule type="expression" dxfId="8485" priority="22748">
      <formula>IF($B35="Quoting",TRUE,FALSE)</formula>
    </cfRule>
    <cfRule type="expression" dxfId="8484" priority="22749">
      <formula>IF($B35="Quoting",TRUE,FALSE)</formula>
    </cfRule>
    <cfRule type="expression" dxfId="8483" priority="22750">
      <formula>IF($B35="Quoting",TRUE,FALSE)</formula>
    </cfRule>
    <cfRule type="expression" dxfId="8482" priority="22751">
      <formula>IF($B35="Quoting",TRUE,FALSE)</formula>
    </cfRule>
    <cfRule type="expression" dxfId="8481" priority="22752">
      <formula>IF($B35="Quoting",TRUE,FALSE)</formula>
    </cfRule>
    <cfRule type="expression" dxfId="8480" priority="22753">
      <formula>IF($B35="Quoting",TRUE,FALSE)</formula>
    </cfRule>
    <cfRule type="expression" dxfId="8479" priority="22754">
      <formula>IF($B35="Quoting",TRUE,FALSE)</formula>
    </cfRule>
    <cfRule type="expression" dxfId="8478" priority="22755">
      <formula>IF($B35="Quoting",TRUE,FALSE)</formula>
    </cfRule>
    <cfRule type="expression" dxfId="8477" priority="22756">
      <formula>IF($B35="Quoting",TRUE,FALSE)</formula>
    </cfRule>
    <cfRule type="expression" dxfId="8476" priority="22757">
      <formula>IF($B35="Quoting",TRUE,FALSE)</formula>
    </cfRule>
    <cfRule type="expression" dxfId="8475" priority="22758">
      <formula>IF($B35="Quoting",TRUE,FALSE)</formula>
    </cfRule>
    <cfRule type="expression" dxfId="8474" priority="22759">
      <formula>IF($B35="Quoting",TRUE,FALSE)</formula>
    </cfRule>
    <cfRule type="expression" dxfId="8473" priority="22760">
      <formula>IF($B35="Quoting",TRUE,FALSE)</formula>
    </cfRule>
    <cfRule type="expression" dxfId="8472" priority="22761">
      <formula>IF($B35="Quoting",TRUE,FALSE)</formula>
    </cfRule>
    <cfRule type="expression" dxfId="8471" priority="22762">
      <formula>IF($B35="Quoting",TRUE,FALSE)</formula>
    </cfRule>
    <cfRule type="expression" dxfId="8470" priority="22763">
      <formula>IF($B35="Quoting",TRUE,FALSE)</formula>
    </cfRule>
    <cfRule type="expression" dxfId="8469" priority="22764">
      <formula>IF($B35="Quoting",TRUE,FALSE)</formula>
    </cfRule>
    <cfRule type="expression" dxfId="8468" priority="22765">
      <formula>IF($B35="Quoting",TRUE,FALSE)</formula>
    </cfRule>
    <cfRule type="expression" dxfId="8467" priority="22766">
      <formula>IF($B35="Quoting",TRUE,FALSE)</formula>
    </cfRule>
    <cfRule type="expression" dxfId="8466" priority="22767">
      <formula>IF($B35="Quoting",TRUE,FALSE)</formula>
    </cfRule>
    <cfRule type="expression" dxfId="8465" priority="22768">
      <formula>IF($B35="Quoting",TRUE,FALSE)</formula>
    </cfRule>
    <cfRule type="expression" dxfId="8464" priority="22769">
      <formula>IF($B35="Quoting",TRUE,FALSE)</formula>
    </cfRule>
    <cfRule type="expression" dxfId="8463" priority="22770">
      <formula>IF($B35="Quoting",TRUE,FALSE)</formula>
    </cfRule>
    <cfRule type="expression" dxfId="8462" priority="22771">
      <formula>IF($B35="Quoting",TRUE,FALSE)</formula>
    </cfRule>
    <cfRule type="expression" dxfId="8461" priority="22772">
      <formula>IF($B35="Quoting",TRUE,FALSE)</formula>
    </cfRule>
    <cfRule type="expression" dxfId="8460" priority="22773">
      <formula>IF($B35="Quoting",TRUE,FALSE)</formula>
    </cfRule>
    <cfRule type="expression" dxfId="8459" priority="22774">
      <formula>IF($B35="Quoting",TRUE,FALSE)</formula>
    </cfRule>
    <cfRule type="expression" dxfId="8458" priority="22775">
      <formula>IF($B35="Quoting",TRUE,FALSE)</formula>
    </cfRule>
    <cfRule type="expression" dxfId="8457" priority="22776">
      <formula>IF($B35="Quoting",TRUE,FALSE)</formula>
    </cfRule>
    <cfRule type="expression" dxfId="8456" priority="22777">
      <formula>IF($B35="Quoting",TRUE,FALSE)</formula>
    </cfRule>
    <cfRule type="expression" dxfId="8455" priority="22778">
      <formula>IF($B35="Quoting",TRUE,FALSE)</formula>
    </cfRule>
    <cfRule type="expression" dxfId="8454" priority="22779">
      <formula>IF($B35="Quoting",TRUE,FALSE)</formula>
    </cfRule>
    <cfRule type="expression" dxfId="8453" priority="22780">
      <formula>IF($B35="Quoting",TRUE,FALSE)</formula>
    </cfRule>
    <cfRule type="expression" dxfId="8452" priority="22781">
      <formula>IF($B35="Quoting",TRUE,FALSE)</formula>
    </cfRule>
    <cfRule type="expression" dxfId="8451" priority="22782">
      <formula>IF($B35="Quoting",TRUE,FALSE)</formula>
    </cfRule>
    <cfRule type="expression" dxfId="8450" priority="22783">
      <formula>IF($B35="Quoting",TRUE,FALSE)</formula>
    </cfRule>
    <cfRule type="expression" dxfId="8449" priority="22784">
      <formula>IF($B35="Quoting",TRUE,FALSE)</formula>
    </cfRule>
    <cfRule type="expression" dxfId="8448" priority="22785">
      <formula>IF($B35="Quoting",TRUE,FALSE)</formula>
    </cfRule>
    <cfRule type="expression" dxfId="8447" priority="22786">
      <formula>IF($B35="Quoting",TRUE,FALSE)</formula>
    </cfRule>
    <cfRule type="expression" dxfId="8446" priority="22787">
      <formula>IF($B35="Quoting",TRUE,FALSE)</formula>
    </cfRule>
    <cfRule type="expression" dxfId="8445" priority="22788">
      <formula>IF($B35="Quoting",TRUE,FALSE)</formula>
    </cfRule>
    <cfRule type="expression" dxfId="8444" priority="22789">
      <formula>IF($B35="Quoting",TRUE,FALSE)</formula>
    </cfRule>
    <cfRule type="expression" dxfId="8443" priority="22790">
      <formula>IF($B35="Quoting",TRUE,FALSE)</formula>
    </cfRule>
    <cfRule type="expression" dxfId="8442" priority="22791">
      <formula>IF($B35="Quoting",TRUE,FALSE)</formula>
    </cfRule>
    <cfRule type="expression" dxfId="8441" priority="22792">
      <formula>IF($B35="Quoting",TRUE,FALSE)</formula>
    </cfRule>
    <cfRule type="expression" dxfId="8440" priority="22793">
      <formula>IF($B35="Quoting",TRUE,FALSE)</formula>
    </cfRule>
    <cfRule type="expression" dxfId="8439" priority="22794">
      <formula>IF($B35="Quoting",TRUE,FALSE)</formula>
    </cfRule>
    <cfRule type="expression" dxfId="8438" priority="22795">
      <formula>IF($B35="Quoting",TRUE,FALSE)</formula>
    </cfRule>
    <cfRule type="expression" dxfId="8437" priority="22796">
      <formula>IF($B35="Quoting",TRUE,FALSE)</formula>
    </cfRule>
    <cfRule type="expression" dxfId="8436" priority="22797">
      <formula>IF($B35="Quoting",TRUE,FALSE)</formula>
    </cfRule>
    <cfRule type="expression" dxfId="8435" priority="22798">
      <formula>IF($B35="Quoting",TRUE,FALSE)</formula>
    </cfRule>
    <cfRule type="expression" dxfId="8434" priority="22799">
      <formula>IF($B35="Quoting",TRUE,FALSE)</formula>
    </cfRule>
    <cfRule type="expression" dxfId="8433" priority="22800">
      <formula>IF($B35="Quoting",TRUE,FALSE)</formula>
    </cfRule>
    <cfRule type="expression" dxfId="8432" priority="22801">
      <formula>IF($B35="Quoting",TRUE,FALSE)</formula>
    </cfRule>
    <cfRule type="expression" dxfId="8431" priority="22802">
      <formula>IF($B35="Quoting",TRUE,FALSE)</formula>
    </cfRule>
    <cfRule type="expression" dxfId="8430" priority="22803">
      <formula>IF($B35="Quoting",TRUE,FALSE)</formula>
    </cfRule>
    <cfRule type="expression" dxfId="8429" priority="22804">
      <formula>IF($B35="Quoting",TRUE,FALSE)</formula>
    </cfRule>
    <cfRule type="expression" dxfId="8428" priority="22805">
      <formula>IF($B35="Quoting",TRUE,FALSE)</formula>
    </cfRule>
    <cfRule type="expression" dxfId="8427" priority="22806">
      <formula>IF($B35="Quoting",TRUE,FALSE)</formula>
    </cfRule>
    <cfRule type="expression" dxfId="8426" priority="22807">
      <formula>IF($B35="Quoting",TRUE,FALSE)</formula>
    </cfRule>
    <cfRule type="expression" dxfId="8425" priority="22808">
      <formula>IF($B35="Quoting",TRUE,FALSE)</formula>
    </cfRule>
    <cfRule type="expression" dxfId="8424" priority="22809">
      <formula>IF($B35="Quoting",TRUE,FALSE)</formula>
    </cfRule>
    <cfRule type="expression" dxfId="8423" priority="22810">
      <formula>IF($B35="Quoting",TRUE,FALSE)</formula>
    </cfRule>
    <cfRule type="expression" dxfId="8422" priority="22811">
      <formula>IF($B35="Quoting",TRUE,FALSE)</formula>
    </cfRule>
    <cfRule type="expression" dxfId="8421" priority="22812">
      <formula>IF($B35="Quoting",TRUE,FALSE)</formula>
    </cfRule>
    <cfRule type="expression" dxfId="8420" priority="22813">
      <formula>IF($B35="Quoting",TRUE,FALSE)</formula>
    </cfRule>
    <cfRule type="expression" dxfId="8419" priority="22814">
      <formula>IF($B35="Quoting",TRUE,FALSE)</formula>
    </cfRule>
    <cfRule type="expression" dxfId="8418" priority="22815">
      <formula>IF($B35="Quoting",TRUE,FALSE)</formula>
    </cfRule>
    <cfRule type="expression" dxfId="8417" priority="22816">
      <formula>IF($B35="Quoting",TRUE,FALSE)</formula>
    </cfRule>
    <cfRule type="expression" dxfId="8416" priority="22817">
      <formula>IF($B35="Quoting",TRUE,FALSE)</formula>
    </cfRule>
    <cfRule type="expression" dxfId="8415" priority="22818">
      <formula>IF($B35="Quoting",TRUE,FALSE)</formula>
    </cfRule>
    <cfRule type="expression" dxfId="8414" priority="22819">
      <formula>IF($B35="Quoting",TRUE,FALSE)</formula>
    </cfRule>
    <cfRule type="expression" dxfId="8413" priority="22820">
      <formula>IF($B35="Quoting",TRUE,FALSE)</formula>
    </cfRule>
    <cfRule type="expression" dxfId="8412" priority="22821">
      <formula>IF($B35="Quoting",TRUE,FALSE)</formula>
    </cfRule>
    <cfRule type="expression" dxfId="8411" priority="22822">
      <formula>IF($B35="Quoting",TRUE,FALSE)</formula>
    </cfRule>
    <cfRule type="expression" dxfId="8410" priority="22823">
      <formula>IF($B35="Quoting",TRUE,FALSE)</formula>
    </cfRule>
    <cfRule type="expression" dxfId="8409" priority="22824">
      <formula>IF($B35="Quoting",TRUE,FALSE)</formula>
    </cfRule>
    <cfRule type="expression" dxfId="8408" priority="22825">
      <formula>IF($B35="Quoting",TRUE,FALSE)</formula>
    </cfRule>
    <cfRule type="expression" dxfId="8407" priority="22826">
      <formula>IF($B35="Quoting",TRUE,FALSE)</formula>
    </cfRule>
    <cfRule type="expression" dxfId="8406" priority="22827">
      <formula>IF($B35="Quoting",TRUE,FALSE)</formula>
    </cfRule>
    <cfRule type="expression" dxfId="8405" priority="22828">
      <formula>IF($B35="Quoting",TRUE,FALSE)</formula>
    </cfRule>
    <cfRule type="expression" dxfId="8404" priority="22829">
      <formula>IF($B35="Quoting",TRUE,FALSE)</formula>
    </cfRule>
    <cfRule type="expression" dxfId="8403" priority="22830">
      <formula>IF($B35="Quoting",TRUE,FALSE)</formula>
    </cfRule>
    <cfRule type="expression" dxfId="8402" priority="22831">
      <formula>IF($B35="Quoting",TRUE,FALSE)</formula>
    </cfRule>
    <cfRule type="expression" dxfId="8401" priority="22832">
      <formula>IF($B35="Quoting",TRUE,FALSE)</formula>
    </cfRule>
    <cfRule type="expression" dxfId="8400" priority="22833">
      <formula>IF($B35="Quoting",TRUE,FALSE)</formula>
    </cfRule>
    <cfRule type="expression" dxfId="8399" priority="22834">
      <formula>IF($B35="Quoting",TRUE,FALSE)</formula>
    </cfRule>
    <cfRule type="expression" dxfId="8398" priority="22835">
      <formula>IF($B35="Quoting",TRUE,FALSE)</formula>
    </cfRule>
    <cfRule type="expression" dxfId="8397" priority="22836">
      <formula>IF($B35="Quoting",TRUE,FALSE)</formula>
    </cfRule>
    <cfRule type="expression" dxfId="8396" priority="22837">
      <formula>IF($B35="Quoting",TRUE,FALSE)</formula>
    </cfRule>
    <cfRule type="expression" dxfId="8395" priority="22838">
      <formula>IF($B35="Quoting",TRUE,FALSE)</formula>
    </cfRule>
    <cfRule type="expression" dxfId="8394" priority="22839">
      <formula>IF($B35="Quoting",TRUE,FALSE)</formula>
    </cfRule>
    <cfRule type="expression" dxfId="8393" priority="22840">
      <formula>IF($B35="Quoting",TRUE,FALSE)</formula>
    </cfRule>
    <cfRule type="expression" dxfId="8392" priority="22841">
      <formula>IF($B35="Quoting",TRUE,FALSE)</formula>
    </cfRule>
    <cfRule type="expression" dxfId="8391" priority="22842">
      <formula>IF($B35="Quoting",TRUE,FALSE)</formula>
    </cfRule>
    <cfRule type="expression" dxfId="8390" priority="22843">
      <formula>IF($B35="Quoting",TRUE,FALSE)</formula>
    </cfRule>
    <cfRule type="expression" dxfId="8389" priority="22844">
      <formula>IF($B35="Quoting",TRUE,FALSE)</formula>
    </cfRule>
    <cfRule type="expression" dxfId="8388" priority="22845">
      <formula>IF($B35="Quoting",TRUE,FALSE)</formula>
    </cfRule>
    <cfRule type="expression" dxfId="8387" priority="22846">
      <formula>IF($B35="Quoting",TRUE,FALSE)</formula>
    </cfRule>
    <cfRule type="expression" dxfId="8386" priority="22847">
      <formula>IF($B35="Quoting",TRUE,FALSE)</formula>
    </cfRule>
    <cfRule type="expression" dxfId="8385" priority="22848">
      <formula>IF($B35="Quoting",TRUE,FALSE)</formula>
    </cfRule>
    <cfRule type="expression" dxfId="8384" priority="22849">
      <formula>IF($B35="Quoting",TRUE,FALSE)</formula>
    </cfRule>
    <cfRule type="expression" dxfId="8383" priority="22850">
      <formula>IF($B35="Quoting",TRUE,FALSE)</formula>
    </cfRule>
    <cfRule type="expression" dxfId="8382" priority="22851">
      <formula>IF($B35="Quoting",TRUE,FALSE)</formula>
    </cfRule>
    <cfRule type="expression" dxfId="8381" priority="22852">
      <formula>IF($B35="Quoting",TRUE,FALSE)</formula>
    </cfRule>
    <cfRule type="expression" dxfId="8380" priority="22853">
      <formula>IF($B35="Quoting",TRUE,FALSE)</formula>
    </cfRule>
    <cfRule type="expression" dxfId="8379" priority="22854">
      <formula>IF($B35="Quoting",TRUE,FALSE)</formula>
    </cfRule>
    <cfRule type="expression" dxfId="8378" priority="22855">
      <formula>IF($B35="Quoting",TRUE,FALSE)</formula>
    </cfRule>
    <cfRule type="expression" dxfId="8377" priority="22856">
      <formula>IF($B35="Quoting",TRUE,FALSE)</formula>
    </cfRule>
    <cfRule type="expression" dxfId="8376" priority="22857">
      <formula>IF($B35="Quoting",TRUE,FALSE)</formula>
    </cfRule>
    <cfRule type="expression" dxfId="8375" priority="22858">
      <formula>IF($B35="Quoting",TRUE,FALSE)</formula>
    </cfRule>
    <cfRule type="expression" dxfId="8374" priority="22859">
      <formula>IF($B35="Quoting",TRUE,FALSE)</formula>
    </cfRule>
    <cfRule type="expression" dxfId="8373" priority="22860">
      <formula>IF($B35="Quoting",TRUE,FALSE)</formula>
    </cfRule>
    <cfRule type="expression" dxfId="8372" priority="22861">
      <formula>IF($B35="Quoting",TRUE,FALSE)</formula>
    </cfRule>
    <cfRule type="expression" dxfId="8371" priority="22862">
      <formula>IF($B35="Quoting",TRUE,FALSE)</formula>
    </cfRule>
    <cfRule type="expression" dxfId="8370" priority="22863">
      <formula>IF($B35="Quoting",TRUE,FALSE)</formula>
    </cfRule>
    <cfRule type="expression" dxfId="8369" priority="22864">
      <formula>IF($B35="Quoting",TRUE,FALSE)</formula>
    </cfRule>
    <cfRule type="expression" dxfId="8368" priority="22865">
      <formula>IF($B35="Quoting",TRUE,FALSE)</formula>
    </cfRule>
    <cfRule type="expression" dxfId="8367" priority="22866">
      <formula>IF($B35="Quoting",TRUE,FALSE)</formula>
    </cfRule>
    <cfRule type="expression" dxfId="8366" priority="22867">
      <formula>IF($B35="Quoting",TRUE,FALSE)</formula>
    </cfRule>
    <cfRule type="expression" dxfId="8365" priority="22868">
      <formula>IF($B35="Quoting",TRUE,FALSE)</formula>
    </cfRule>
    <cfRule type="expression" dxfId="8364" priority="22869">
      <formula>IF($B35="Quoting",TRUE,FALSE)</formula>
    </cfRule>
    <cfRule type="expression" dxfId="8363" priority="22870">
      <formula>IF($B35="Quoting",TRUE,FALSE)</formula>
    </cfRule>
    <cfRule type="expression" dxfId="8362" priority="22871">
      <formula>IF($B35="Quoting",TRUE,FALSE)</formula>
    </cfRule>
    <cfRule type="expression" dxfId="8361" priority="22872">
      <formula>IF($B35="Quoting",TRUE,FALSE)</formula>
    </cfRule>
    <cfRule type="expression" dxfId="8360" priority="22873">
      <formula>IF($B35="Quoting",TRUE,FALSE)</formula>
    </cfRule>
    <cfRule type="expression" dxfId="8359" priority="22874">
      <formula>IF($B35="Quoting",TRUE,FALSE)</formula>
    </cfRule>
    <cfRule type="expression" dxfId="8358" priority="22875">
      <formula>IF($B35="Quoting",TRUE,FALSE)</formula>
    </cfRule>
    <cfRule type="expression" dxfId="8357" priority="22876">
      <formula>IF($B35="Quoting",TRUE,FALSE)</formula>
    </cfRule>
    <cfRule type="expression" dxfId="8356" priority="22877">
      <formula>IF($B35="Quoting",TRUE,FALSE)</formula>
    </cfRule>
    <cfRule type="expression" dxfId="8355" priority="22878">
      <formula>IF($B35="Quoting",TRUE,FALSE)</formula>
    </cfRule>
    <cfRule type="expression" dxfId="8354" priority="22879">
      <formula>IF($B35="Quoting",TRUE,FALSE)</formula>
    </cfRule>
    <cfRule type="expression" dxfId="8353" priority="22880">
      <formula>IF($B35="Quoting",TRUE,FALSE)</formula>
    </cfRule>
    <cfRule type="expression" dxfId="8352" priority="22881">
      <formula>IF($B35="Quoting",TRUE,FALSE)</formula>
    </cfRule>
    <cfRule type="expression" dxfId="8351" priority="22882">
      <formula>IF($B35="Quoting",TRUE,FALSE)</formula>
    </cfRule>
    <cfRule type="expression" dxfId="8350" priority="22883">
      <formula>IF($B35="Quoting",TRUE,FALSE)</formula>
    </cfRule>
    <cfRule type="expression" dxfId="8349" priority="22884">
      <formula>IF($B35="Quoting",TRUE,FALSE)</formula>
    </cfRule>
    <cfRule type="expression" dxfId="8348" priority="22885">
      <formula>IF($B35="Quoting",TRUE,FALSE)</formula>
    </cfRule>
    <cfRule type="expression" dxfId="8347" priority="22886">
      <formula>IF($B35="Quoting",TRUE,FALSE)</formula>
    </cfRule>
    <cfRule type="expression" dxfId="8346" priority="22887">
      <formula>IF($B35="Quoting",TRUE,FALSE)</formula>
    </cfRule>
    <cfRule type="expression" dxfId="8345" priority="22888">
      <formula>IF($B35="Quoting",TRUE,FALSE)</formula>
    </cfRule>
    <cfRule type="expression" dxfId="8344" priority="22889">
      <formula>IF($B35="Quoting",TRUE,FALSE)</formula>
    </cfRule>
    <cfRule type="expression" dxfId="8343" priority="22890">
      <formula>IF($B35="Quoting",TRUE,FALSE)</formula>
    </cfRule>
    <cfRule type="expression" dxfId="8342" priority="22891">
      <formula>IF($B35="Quoting",TRUE,FALSE)</formula>
    </cfRule>
    <cfRule type="expression" dxfId="8341" priority="22892">
      <formula>IF($B35="Quoting",TRUE,FALSE)</formula>
    </cfRule>
    <cfRule type="expression" dxfId="8340" priority="22893">
      <formula>IF($B35="Quoting",TRUE,FALSE)</formula>
    </cfRule>
    <cfRule type="expression" dxfId="8339" priority="22894">
      <formula>IF($B35="Quoting",TRUE,FALSE)</formula>
    </cfRule>
    <cfRule type="expression" dxfId="8338" priority="22895">
      <formula>IF($B35="Quoting",TRUE,FALSE)</formula>
    </cfRule>
    <cfRule type="expression" dxfId="8337" priority="22896">
      <formula>IF($B35="Quoting",TRUE,FALSE)</formula>
    </cfRule>
    <cfRule type="expression" dxfId="8336" priority="22897">
      <formula>IF($B35="Quoting",TRUE,FALSE)</formula>
    </cfRule>
    <cfRule type="expression" dxfId="8335" priority="22898">
      <formula>IF($B35="Quoting",TRUE,FALSE)</formula>
    </cfRule>
    <cfRule type="expression" dxfId="8334" priority="22899">
      <formula>IF($B35="Quoting",TRUE,FALSE)</formula>
    </cfRule>
    <cfRule type="expression" dxfId="8333" priority="22900">
      <formula>IF($B35="Quoting",TRUE,FALSE)</formula>
    </cfRule>
    <cfRule type="expression" dxfId="8332" priority="22901">
      <formula>IF($B35="Quoting",TRUE,FALSE)</formula>
    </cfRule>
    <cfRule type="expression" dxfId="8331" priority="22902">
      <formula>IF($B35="Quoting",TRUE,FALSE)</formula>
    </cfRule>
    <cfRule type="expression" dxfId="8330" priority="22903">
      <formula>IF($B35="Quoting",TRUE,FALSE)</formula>
    </cfRule>
    <cfRule type="expression" dxfId="8329" priority="22904">
      <formula>IF($B35="Quoting",TRUE,FALSE)</formula>
    </cfRule>
    <cfRule type="expression" dxfId="8328" priority="22905">
      <formula>IF($B35="Quoting",TRUE,FALSE)</formula>
    </cfRule>
    <cfRule type="expression" dxfId="8327" priority="22906">
      <formula>IF($B35="Quoting",TRUE,FALSE)</formula>
    </cfRule>
    <cfRule type="expression" dxfId="8326" priority="22907">
      <formula>IF($B35="Quoting",TRUE,FALSE)</formula>
    </cfRule>
    <cfRule type="expression" dxfId="8325" priority="22908">
      <formula>IF($B35="Quoting",TRUE,FALSE)</formula>
    </cfRule>
    <cfRule type="expression" dxfId="8324" priority="22909">
      <formula>IF($B35="Quoting",TRUE,FALSE)</formula>
    </cfRule>
    <cfRule type="expression" dxfId="8323" priority="22910">
      <formula>IF($B35="Quoting",TRUE,FALSE)</formula>
    </cfRule>
    <cfRule type="expression" dxfId="8322" priority="22911">
      <formula>IF($B35="Quoting",TRUE,FALSE)</formula>
    </cfRule>
    <cfRule type="expression" dxfId="8321" priority="22912">
      <formula>IF($B35="Quoting",TRUE,FALSE)</formula>
    </cfRule>
    <cfRule type="expression" dxfId="8320" priority="22913">
      <formula>IF($B35="Quoting",TRUE,FALSE)</formula>
    </cfRule>
    <cfRule type="expression" dxfId="8319" priority="22914">
      <formula>IF($B35="Quoting",TRUE,FALSE)</formula>
    </cfRule>
    <cfRule type="expression" dxfId="8318" priority="22915">
      <formula>IF($B35="Quoting",TRUE,FALSE)</formula>
    </cfRule>
    <cfRule type="expression" dxfId="8317" priority="22916">
      <formula>IF($B35="Quoting",TRUE,FALSE)</formula>
    </cfRule>
    <cfRule type="expression" dxfId="8316" priority="22917">
      <formula>IF($B35="Quoting",TRUE,FALSE)</formula>
    </cfRule>
    <cfRule type="expression" dxfId="8315" priority="22918">
      <formula>IF($B35="Quoting",TRUE,FALSE)</formula>
    </cfRule>
    <cfRule type="expression" dxfId="8314" priority="22919">
      <formula>IF($B35="Quoting",TRUE,FALSE)</formula>
    </cfRule>
    <cfRule type="expression" dxfId="8313" priority="22920">
      <formula>IF($B35="Quoting",TRUE,FALSE)</formula>
    </cfRule>
    <cfRule type="expression" dxfId="8312" priority="22921">
      <formula>IF($B35="Quoting",TRUE,FALSE)</formula>
    </cfRule>
    <cfRule type="expression" dxfId="8311" priority="22922">
      <formula>IF($B35="Quoting",TRUE,FALSE)</formula>
    </cfRule>
    <cfRule type="expression" dxfId="8310" priority="22923">
      <formula>IF($B35="Quoting",TRUE,FALSE)</formula>
    </cfRule>
    <cfRule type="expression" dxfId="8309" priority="22924">
      <formula>IF($B35="Quoting",TRUE,FALSE)</formula>
    </cfRule>
    <cfRule type="expression" dxfId="8308" priority="22925">
      <formula>IF($B35="Quoting",TRUE,FALSE)</formula>
    </cfRule>
    <cfRule type="expression" dxfId="8307" priority="22926">
      <formula>IF($B35="Quoting",TRUE,FALSE)</formula>
    </cfRule>
    <cfRule type="expression" dxfId="8306" priority="22927">
      <formula>IF($B35="Quoting",TRUE,FALSE)</formula>
    </cfRule>
    <cfRule type="expression" dxfId="8305" priority="22928">
      <formula>IF($B35="Quoting",TRUE,FALSE)</formula>
    </cfRule>
    <cfRule type="expression" dxfId="8304" priority="22929">
      <formula>IF($B35="Quoting",TRUE,FALSE)</formula>
    </cfRule>
    <cfRule type="expression" dxfId="8303" priority="22930">
      <formula>IF($B35="Quoting",TRUE,FALSE)</formula>
    </cfRule>
    <cfRule type="expression" dxfId="8302" priority="22931">
      <formula>IF($B35="Quoting",TRUE,FALSE)</formula>
    </cfRule>
    <cfRule type="expression" dxfId="8301" priority="22932">
      <formula>IF($B35="Quoting",TRUE,FALSE)</formula>
    </cfRule>
    <cfRule type="expression" dxfId="8300" priority="22933">
      <formula>IF($B35="Quoting",TRUE,FALSE)</formula>
    </cfRule>
    <cfRule type="expression" dxfId="8299" priority="22934">
      <formula>IF($B35="Quoting",TRUE,FALSE)</formula>
    </cfRule>
    <cfRule type="expression" dxfId="8298" priority="22935">
      <formula>IF($B35="Quoting",TRUE,FALSE)</formula>
    </cfRule>
    <cfRule type="expression" dxfId="8297" priority="22936">
      <formula>IF($B35="Quoting",TRUE,FALSE)</formula>
    </cfRule>
    <cfRule type="expression" dxfId="8296" priority="22937">
      <formula>IF($B35="Quoting",TRUE,FALSE)</formula>
    </cfRule>
    <cfRule type="expression" dxfId="8295" priority="22938">
      <formula>IF($B35="Quoting",TRUE,FALSE)</formula>
    </cfRule>
    <cfRule type="expression" dxfId="8294" priority="22939">
      <formula>IF($B35="Quoting",TRUE,FALSE)</formula>
    </cfRule>
    <cfRule type="expression" dxfId="8293" priority="22940">
      <formula>IF($B35="Quoting",TRUE,FALSE)</formula>
    </cfRule>
    <cfRule type="expression" dxfId="8292" priority="22941">
      <formula>IF($B35="Quoting",TRUE,FALSE)</formula>
    </cfRule>
    <cfRule type="expression" dxfId="8291" priority="22942">
      <formula>IF($B35="Quoting",TRUE,FALSE)</formula>
    </cfRule>
    <cfRule type="expression" dxfId="8290" priority="22943">
      <formula>IF($B35="Quoting",TRUE,FALSE)</formula>
    </cfRule>
    <cfRule type="expression" dxfId="8289" priority="22944">
      <formula>IF($B35="Quoting",TRUE,FALSE)</formula>
    </cfRule>
    <cfRule type="expression" dxfId="8288" priority="22945">
      <formula>IF($B35="Quoting",TRUE,FALSE)</formula>
    </cfRule>
    <cfRule type="expression" dxfId="8287" priority="22946">
      <formula>IF($B35="Quoting",TRUE,FALSE)</formula>
    </cfRule>
    <cfRule type="expression" dxfId="8286" priority="22947">
      <formula>IF($B35="Quoting",TRUE,FALSE)</formula>
    </cfRule>
    <cfRule type="expression" dxfId="8285" priority="22948">
      <formula>IF($B35="Quoting",TRUE,FALSE)</formula>
    </cfRule>
    <cfRule type="expression" dxfId="8284" priority="22949">
      <formula>IF($B35="Quoting",TRUE,FALSE)</formula>
    </cfRule>
    <cfRule type="expression" dxfId="8283" priority="22950">
      <formula>IF($B35="Quoting",TRUE,FALSE)</formula>
    </cfRule>
    <cfRule type="expression" dxfId="8282" priority="22951">
      <formula>IF($B35="Quoting",TRUE,FALSE)</formula>
    </cfRule>
    <cfRule type="expression" dxfId="8281" priority="22952">
      <formula>IF($B35="Quoting",TRUE,FALSE)</formula>
    </cfRule>
    <cfRule type="expression" dxfId="8280" priority="22953">
      <formula>IF($B35="Quoting",TRUE,FALSE)</formula>
    </cfRule>
    <cfRule type="expression" dxfId="8279" priority="22954">
      <formula>IF($B35="Quoting",TRUE,FALSE)</formula>
    </cfRule>
    <cfRule type="expression" dxfId="8278" priority="22955">
      <formula>IF($B35="Quoting",TRUE,FALSE)</formula>
    </cfRule>
    <cfRule type="expression" dxfId="8277" priority="22956">
      <formula>IF($B35="Quoting",TRUE,FALSE)</formula>
    </cfRule>
    <cfRule type="expression" dxfId="8276" priority="22957">
      <formula>IF($B35="Quoting",TRUE,FALSE)</formula>
    </cfRule>
    <cfRule type="expression" dxfId="8275" priority="22958">
      <formula>IF($B35="Quoting",TRUE,FALSE)</formula>
    </cfRule>
    <cfRule type="expression" dxfId="8274" priority="22959">
      <formula>IF($B35="Quoting",TRUE,FALSE)</formula>
    </cfRule>
    <cfRule type="expression" dxfId="8273" priority="22960">
      <formula>IF($B35="Quoting",TRUE,FALSE)</formula>
    </cfRule>
    <cfRule type="expression" dxfId="8272" priority="22961">
      <formula>IF($B35="Quoting",TRUE,FALSE)</formula>
    </cfRule>
    <cfRule type="expression" dxfId="8271" priority="22962">
      <formula>IF($B35="Quoting",TRUE,FALSE)</formula>
    </cfRule>
    <cfRule type="expression" dxfId="8270" priority="22963">
      <formula>IF($B35="Quoting",TRUE,FALSE)</formula>
    </cfRule>
    <cfRule type="expression" dxfId="8269" priority="22964">
      <formula>IF($B35="Quoting",TRUE,FALSE)</formula>
    </cfRule>
    <cfRule type="expression" dxfId="8268" priority="22965">
      <formula>IF($B35="Quoting",TRUE,FALSE)</formula>
    </cfRule>
    <cfRule type="expression" dxfId="8267" priority="22966">
      <formula>IF($B35="Quoting",TRUE,FALSE)</formula>
    </cfRule>
    <cfRule type="expression" dxfId="8266" priority="22967">
      <formula>IF($B35="Quoting",TRUE,FALSE)</formula>
    </cfRule>
    <cfRule type="expression" dxfId="8265" priority="22968">
      <formula>IF($B35="Quoting",TRUE,FALSE)</formula>
    </cfRule>
    <cfRule type="expression" dxfId="8264" priority="22969">
      <formula>IF($B35="Quoting",TRUE,FALSE)</formula>
    </cfRule>
    <cfRule type="expression" dxfId="8263" priority="22970">
      <formula>IF($B35="Quoting",TRUE,FALSE)</formula>
    </cfRule>
    <cfRule type="expression" dxfId="8262" priority="22971">
      <formula>IF($B35="Quoting",TRUE,FALSE)</formula>
    </cfRule>
    <cfRule type="expression" dxfId="8261" priority="22972">
      <formula>IF($B35="Quoting",TRUE,FALSE)</formula>
    </cfRule>
    <cfRule type="expression" dxfId="8260" priority="22973">
      <formula>IF($B35="Quoting",TRUE,FALSE)</formula>
    </cfRule>
    <cfRule type="expression" dxfId="8259" priority="22974">
      <formula>IF($B35="Quoting",TRUE,FALSE)</formula>
    </cfRule>
    <cfRule type="expression" dxfId="8258" priority="22975">
      <formula>IF($B35="Quoting",TRUE,FALSE)</formula>
    </cfRule>
    <cfRule type="expression" dxfId="8257" priority="22976">
      <formula>IF($B35="Quoting",TRUE,FALSE)</formula>
    </cfRule>
    <cfRule type="expression" dxfId="8256" priority="22977">
      <formula>IF($B35="Quoting",TRUE,FALSE)</formula>
    </cfRule>
    <cfRule type="expression" dxfId="8255" priority="22978">
      <formula>IF($B35="Quoting",TRUE,FALSE)</formula>
    </cfRule>
    <cfRule type="expression" dxfId="8254" priority="22979">
      <formula>IF($B35="Quoting",TRUE,FALSE)</formula>
    </cfRule>
    <cfRule type="expression" dxfId="8253" priority="22980">
      <formula>IF($B35="Quoting",TRUE,FALSE)</formula>
    </cfRule>
    <cfRule type="expression" dxfId="8252" priority="22981">
      <formula>IF($B35="Quoting",TRUE,FALSE)</formula>
    </cfRule>
    <cfRule type="expression" dxfId="8251" priority="22982">
      <formula>IF($B35="Quoting",TRUE,FALSE)</formula>
    </cfRule>
    <cfRule type="expression" dxfId="8250" priority="22983">
      <formula>IF($B35="Quoting",TRUE,FALSE)</formula>
    </cfRule>
    <cfRule type="expression" dxfId="8249" priority="22984">
      <formula>IF($B35="Quoting",TRUE,FALSE)</formula>
    </cfRule>
    <cfRule type="expression" dxfId="8248" priority="22985">
      <formula>IF($B35="Quoting",TRUE,FALSE)</formula>
    </cfRule>
    <cfRule type="expression" dxfId="8247" priority="22986">
      <formula>IF($B35="Quoting",TRUE,FALSE)</formula>
    </cfRule>
    <cfRule type="expression" dxfId="8246" priority="22987">
      <formula>IF($B35="Quoting",TRUE,FALSE)</formula>
    </cfRule>
    <cfRule type="expression" dxfId="8245" priority="22988">
      <formula>IF($B35="Quoting",TRUE,FALSE)</formula>
    </cfRule>
    <cfRule type="expression" dxfId="8244" priority="22989">
      <formula>IF($B35="Quoting",TRUE,FALSE)</formula>
    </cfRule>
    <cfRule type="expression" dxfId="8243" priority="22990">
      <formula>IF($B35="Quoting",TRUE,FALSE)</formula>
    </cfRule>
    <cfRule type="expression" dxfId="8242" priority="22991">
      <formula>IF($B35="Quoting",TRUE,FALSE)</formula>
    </cfRule>
    <cfRule type="expression" dxfId="8241" priority="22992">
      <formula>IF($B35="Quoting",TRUE,FALSE)</formula>
    </cfRule>
    <cfRule type="expression" dxfId="8240" priority="22993">
      <formula>IF($B35="Quoting",TRUE,FALSE)</formula>
    </cfRule>
    <cfRule type="expression" dxfId="8239" priority="22994">
      <formula>IF($B35="Quoting",TRUE,FALSE)</formula>
    </cfRule>
    <cfRule type="expression" dxfId="8238" priority="22995">
      <formula>IF($B35="Quoting",TRUE,FALSE)</formula>
    </cfRule>
    <cfRule type="expression" dxfId="8237" priority="22996">
      <formula>IF($B35="Quoting",TRUE,FALSE)</formula>
    </cfRule>
    <cfRule type="expression" dxfId="8236" priority="22997">
      <formula>IF($B35="Quoting",TRUE,FALSE)</formula>
    </cfRule>
    <cfRule type="expression" dxfId="8235" priority="22998">
      <formula>IF($B35="Quoting",TRUE,FALSE)</formula>
    </cfRule>
    <cfRule type="expression" dxfId="8234" priority="22999">
      <formula>IF($B35="Quoting",TRUE,FALSE)</formula>
    </cfRule>
    <cfRule type="expression" dxfId="8233" priority="23000">
      <formula>IF($B35="Quoting",TRUE,FALSE)</formula>
    </cfRule>
    <cfRule type="expression" dxfId="8232" priority="23001">
      <formula>IF($B35="Quoting",TRUE,FALSE)</formula>
    </cfRule>
    <cfRule type="expression" dxfId="8231" priority="23002">
      <formula>IF($B35="Quoting",TRUE,FALSE)</formula>
    </cfRule>
    <cfRule type="expression" dxfId="8230" priority="23003">
      <formula>IF($B35="Quoting",TRUE,FALSE)</formula>
    </cfRule>
    <cfRule type="expression" dxfId="8229" priority="23004">
      <formula>IF($B35="Quoting",TRUE,FALSE)</formula>
    </cfRule>
    <cfRule type="expression" dxfId="8228" priority="23005">
      <formula>IF($B35="Quoting",TRUE,FALSE)</formula>
    </cfRule>
    <cfRule type="expression" dxfId="8227" priority="23006">
      <formula>IF($B35="Quoting",TRUE,FALSE)</formula>
    </cfRule>
    <cfRule type="expression" dxfId="8226" priority="23007">
      <formula>IF($B35="Quoting",TRUE,FALSE)</formula>
    </cfRule>
    <cfRule type="expression" dxfId="8225" priority="23008">
      <formula>IF($B35="Quoting",TRUE,FALSE)</formula>
    </cfRule>
    <cfRule type="expression" dxfId="8224" priority="23009">
      <formula>IF($B35="Quoting",TRUE,FALSE)</formula>
    </cfRule>
    <cfRule type="expression" dxfId="8223" priority="23010">
      <formula>IF($B35="Quoting",TRUE,FALSE)</formula>
    </cfRule>
    <cfRule type="expression" dxfId="8222" priority="23011">
      <formula>IF($B35="Quoting",TRUE,FALSE)</formula>
    </cfRule>
    <cfRule type="expression" dxfId="8221" priority="23012">
      <formula>IF($B35="Quoting",TRUE,FALSE)</formula>
    </cfRule>
    <cfRule type="expression" dxfId="8220" priority="23013">
      <formula>IF($B35="Quoting",TRUE,FALSE)</formula>
    </cfRule>
    <cfRule type="expression" dxfId="8219" priority="23014">
      <formula>IF($B35="Quoting",TRUE,FALSE)</formula>
    </cfRule>
    <cfRule type="expression" dxfId="8218" priority="23015">
      <formula>IF($B35="Quoting",TRUE,FALSE)</formula>
    </cfRule>
    <cfRule type="expression" dxfId="8217" priority="23016">
      <formula>IF($B35="Quoting",TRUE,FALSE)</formula>
    </cfRule>
    <cfRule type="expression" dxfId="8216" priority="23017">
      <formula>IF($B35="Quoting",TRUE,FALSE)</formula>
    </cfRule>
    <cfRule type="expression" dxfId="8215" priority="23018">
      <formula>IF($B35="Quoting",TRUE,FALSE)</formula>
    </cfRule>
    <cfRule type="expression" dxfId="8214" priority="23019">
      <formula>IF($B35="Quoting",TRUE,FALSE)</formula>
    </cfRule>
    <cfRule type="expression" dxfId="8213" priority="23020">
      <formula>IF($B35="Quoting",TRUE,FALSE)</formula>
    </cfRule>
    <cfRule type="expression" dxfId="8212" priority="23021">
      <formula>IF($B35="Quoting",TRUE,FALSE)</formula>
    </cfRule>
    <cfRule type="expression" dxfId="8211" priority="23022">
      <formula>IF($B35="Quoting",TRUE,FALSE)</formula>
    </cfRule>
    <cfRule type="expression" dxfId="8210" priority="23023">
      <formula>IF($B35="Quoting",TRUE,FALSE)</formula>
    </cfRule>
    <cfRule type="expression" dxfId="8209" priority="23024">
      <formula>IF($B35="Quoting",TRUE,FALSE)</formula>
    </cfRule>
    <cfRule type="expression" dxfId="8208" priority="23025">
      <formula>IF($B35="Quoting",TRUE,FALSE)</formula>
    </cfRule>
    <cfRule type="expression" dxfId="8207" priority="23026">
      <formula>IF($B35="Quoting",TRUE,FALSE)</formula>
    </cfRule>
    <cfRule type="expression" dxfId="8206" priority="23027">
      <formula>IF($B35="Quoting",TRUE,FALSE)</formula>
    </cfRule>
    <cfRule type="expression" dxfId="8205" priority="23028">
      <formula>IF($B35="Quoting",TRUE,FALSE)</formula>
    </cfRule>
    <cfRule type="expression" dxfId="8204" priority="23029">
      <formula>IF($B35="Quoting",TRUE,FALSE)</formula>
    </cfRule>
    <cfRule type="expression" dxfId="8203" priority="23030">
      <formula>IF($B35="Quoting",TRUE,FALSE)</formula>
    </cfRule>
    <cfRule type="expression" dxfId="8202" priority="23031">
      <formula>IF($B35="Quoting",TRUE,FALSE)</formula>
    </cfRule>
    <cfRule type="expression" dxfId="8201" priority="23032">
      <formula>IF($B35="Quoting",TRUE,FALSE)</formula>
    </cfRule>
    <cfRule type="expression" dxfId="8200" priority="23033">
      <formula>IF($B35="Quoting",TRUE,FALSE)</formula>
    </cfRule>
    <cfRule type="expression" dxfId="8199" priority="23034">
      <formula>IF($B35="Quoting",TRUE,FALSE)</formula>
    </cfRule>
    <cfRule type="expression" dxfId="8198" priority="23035">
      <formula>IF($B35="Quoting",TRUE,FALSE)</formula>
    </cfRule>
    <cfRule type="expression" dxfId="8197" priority="23036">
      <formula>IF($B35="Quoting",TRUE,FALSE)</formula>
    </cfRule>
    <cfRule type="expression" dxfId="8196" priority="23037">
      <formula>IF($B35="Quoting",TRUE,FALSE)</formula>
    </cfRule>
    <cfRule type="expression" dxfId="8195" priority="23038">
      <formula>IF($B35="Quoting",TRUE,FALSE)</formula>
    </cfRule>
    <cfRule type="expression" dxfId="8194" priority="23039">
      <formula>IF($B35="Quoting",TRUE,FALSE)</formula>
    </cfRule>
    <cfRule type="expression" dxfId="8193" priority="23040">
      <formula>IF($B35="Quoting",TRUE,FALSE)</formula>
    </cfRule>
    <cfRule type="expression" dxfId="8192" priority="23041">
      <formula>IF($B35="Quoting",TRUE,FALSE)</formula>
    </cfRule>
    <cfRule type="expression" dxfId="8191" priority="23042">
      <formula>IF($B35="Quoting",TRUE,FALSE)</formula>
    </cfRule>
    <cfRule type="expression" dxfId="8190" priority="23043">
      <formula>IF($B35="Quoting",TRUE,FALSE)</formula>
    </cfRule>
    <cfRule type="expression" dxfId="8189" priority="23044">
      <formula>IF($B35="Quoting",TRUE,FALSE)</formula>
    </cfRule>
    <cfRule type="expression" dxfId="8188" priority="23045">
      <formula>IF($B35="Quoting",TRUE,FALSE)</formula>
    </cfRule>
    <cfRule type="expression" dxfId="8187" priority="23046">
      <formula>IF($B35="Quoting",TRUE,FALSE)</formula>
    </cfRule>
    <cfRule type="expression" dxfId="8186" priority="23047">
      <formula>IF($B35="Quoting",TRUE,FALSE)</formula>
    </cfRule>
    <cfRule type="expression" dxfId="8185" priority="23048">
      <formula>IF($B35="Quoting",TRUE,FALSE)</formula>
    </cfRule>
    <cfRule type="expression" dxfId="8184" priority="23049">
      <formula>IF($B35="Quoting",TRUE,FALSE)</formula>
    </cfRule>
    <cfRule type="expression" dxfId="8183" priority="23050">
      <formula>IF($B35="Quoting",TRUE,FALSE)</formula>
    </cfRule>
    <cfRule type="expression" dxfId="8182" priority="23051">
      <formula>IF($B35="Quoting",TRUE,FALSE)</formula>
    </cfRule>
    <cfRule type="expression" dxfId="8181" priority="23052">
      <formula>IF($B35="Quoting",TRUE,FALSE)</formula>
    </cfRule>
    <cfRule type="expression" dxfId="8180" priority="23053">
      <formula>IF($B35="Quoting",TRUE,FALSE)</formula>
    </cfRule>
    <cfRule type="expression" dxfId="8179" priority="23054">
      <formula>IF($B35="Quoting",TRUE,FALSE)</formula>
    </cfRule>
    <cfRule type="expression" dxfId="8178" priority="23055">
      <formula>IF($B35="Quoting",TRUE,FALSE)</formula>
    </cfRule>
    <cfRule type="expression" dxfId="8177" priority="23056">
      <formula>IF($B35="Quoting",TRUE,FALSE)</formula>
    </cfRule>
    <cfRule type="expression" dxfId="8176" priority="23057">
      <formula>IF($B35="Quoting",TRUE,FALSE)</formula>
    </cfRule>
    <cfRule type="expression" dxfId="8175" priority="23058">
      <formula>IF($B35="Quoting",TRUE,FALSE)</formula>
    </cfRule>
    <cfRule type="expression" dxfId="8174" priority="23059">
      <formula>IF($B35="Quoting",TRUE,FALSE)</formula>
    </cfRule>
    <cfRule type="expression" dxfId="8173" priority="23060">
      <formula>IF($B35="Quoting",TRUE,FALSE)</formula>
    </cfRule>
    <cfRule type="expression" dxfId="8172" priority="23061">
      <formula>IF($B35="Quoting",TRUE,FALSE)</formula>
    </cfRule>
    <cfRule type="expression" dxfId="8171" priority="23062">
      <formula>IF($B35="Quoting",TRUE,FALSE)</formula>
    </cfRule>
    <cfRule type="expression" dxfId="8170" priority="23063">
      <formula>IF($B35="Quoting",TRUE,FALSE)</formula>
    </cfRule>
    <cfRule type="expression" dxfId="8169" priority="23064">
      <formula>IF($B35="Quoting",TRUE,FALSE)</formula>
    </cfRule>
    <cfRule type="expression" dxfId="8168" priority="23065">
      <formula>IF($B35="Quoting",TRUE,FALSE)</formula>
    </cfRule>
    <cfRule type="expression" dxfId="8167" priority="23066">
      <formula>IF($B35="Quoting",TRUE,FALSE)</formula>
    </cfRule>
    <cfRule type="expression" dxfId="8166" priority="23067">
      <formula>IF($B35="Quoting",TRUE,FALSE)</formula>
    </cfRule>
    <cfRule type="expression" dxfId="8165" priority="23068">
      <formula>IF($B35="Quoting",TRUE,FALSE)</formula>
    </cfRule>
    <cfRule type="expression" dxfId="8164" priority="23069">
      <formula>IF($B35="Quoting",TRUE,FALSE)</formula>
    </cfRule>
    <cfRule type="expression" dxfId="8163" priority="23070">
      <formula>IF($B35="Quoting",TRUE,FALSE)</formula>
    </cfRule>
    <cfRule type="expression" dxfId="8162" priority="23071">
      <formula>IF($B35="Quoting",TRUE,FALSE)</formula>
    </cfRule>
    <cfRule type="expression" dxfId="8161" priority="23072">
      <formula>IF($B35="Quoting",TRUE,FALSE)</formula>
    </cfRule>
    <cfRule type="expression" dxfId="8160" priority="23073">
      <formula>IF($B35="Quoting",TRUE,FALSE)</formula>
    </cfRule>
    <cfRule type="expression" dxfId="8159" priority="23074">
      <formula>IF($B35="Quoting",TRUE,FALSE)</formula>
    </cfRule>
    <cfRule type="expression" dxfId="8158" priority="23075">
      <formula>IF($B35="Quoting",TRUE,FALSE)</formula>
    </cfRule>
    <cfRule type="expression" dxfId="8157" priority="23076">
      <formula>IF($B35="Quoting",TRUE,FALSE)</formula>
    </cfRule>
    <cfRule type="expression" dxfId="8156" priority="23077">
      <formula>IF($B35="Quoting",TRUE,FALSE)</formula>
    </cfRule>
    <cfRule type="expression" dxfId="8155" priority="23078">
      <formula>IF($B35="Quoting",TRUE,FALSE)</formula>
    </cfRule>
    <cfRule type="expression" dxfId="8154" priority="23079">
      <formula>IF($B35="Quoting",TRUE,FALSE)</formula>
    </cfRule>
    <cfRule type="expression" dxfId="8153" priority="23080">
      <formula>IF($B35="Quoting",TRUE,FALSE)</formula>
    </cfRule>
    <cfRule type="expression" dxfId="8152" priority="23081">
      <formula>IF($B35="Quoting",TRUE,FALSE)</formula>
    </cfRule>
    <cfRule type="expression" dxfId="8151" priority="23082">
      <formula>IF($B35="Quoting",TRUE,FALSE)</formula>
    </cfRule>
    <cfRule type="expression" dxfId="8150" priority="23083">
      <formula>IF($B35="Quoting",TRUE,FALSE)</formula>
    </cfRule>
    <cfRule type="expression" dxfId="8149" priority="23084">
      <formula>IF($B35="Quoting",TRUE,FALSE)</formula>
    </cfRule>
    <cfRule type="expression" dxfId="8148" priority="23085">
      <formula>IF($B35="Quoting",TRUE,FALSE)</formula>
    </cfRule>
    <cfRule type="expression" dxfId="8147" priority="23086">
      <formula>IF($B35="Quoting",TRUE,FALSE)</formula>
    </cfRule>
    <cfRule type="expression" dxfId="8146" priority="23087">
      <formula>IF($B35="Quoting",TRUE,FALSE)</formula>
    </cfRule>
    <cfRule type="expression" dxfId="8145" priority="23088">
      <formula>IF($B35="Quoting",TRUE,FALSE)</formula>
    </cfRule>
    <cfRule type="expression" dxfId="8144" priority="23089">
      <formula>IF($B35="Quoting",TRUE,FALSE)</formula>
    </cfRule>
    <cfRule type="expression" dxfId="8143" priority="23090">
      <formula>IF($B35="Quoting",TRUE,FALSE)</formula>
    </cfRule>
    <cfRule type="expression" dxfId="8142" priority="23091">
      <formula>IF($B35="Quoting",TRUE,FALSE)</formula>
    </cfRule>
    <cfRule type="expression" dxfId="8141" priority="23092">
      <formula>IF($B35="Quoting",TRUE,FALSE)</formula>
    </cfRule>
    <cfRule type="expression" dxfId="8140" priority="23093">
      <formula>IF($B35="Quoting",TRUE,FALSE)</formula>
    </cfRule>
    <cfRule type="expression" dxfId="8139" priority="23094">
      <formula>IF($B35="Quoting",TRUE,FALSE)</formula>
    </cfRule>
    <cfRule type="expression" dxfId="8138" priority="23095">
      <formula>IF($B35="Quoting",TRUE,FALSE)</formula>
    </cfRule>
    <cfRule type="expression" dxfId="8137" priority="23096">
      <formula>IF($B35="Quoting",TRUE,FALSE)</formula>
    </cfRule>
    <cfRule type="expression" dxfId="8136" priority="23097">
      <formula>IF($B35="Quoting",TRUE,FALSE)</formula>
    </cfRule>
    <cfRule type="expression" dxfId="8135" priority="23098">
      <formula>IF($B35="Quoting",TRUE,FALSE)</formula>
    </cfRule>
    <cfRule type="expression" dxfId="8134" priority="23099">
      <formula>IF($B35="Quoting",TRUE,FALSE)</formula>
    </cfRule>
    <cfRule type="expression" dxfId="8133" priority="23100">
      <formula>IF($B35="Quoting",TRUE,FALSE)</formula>
    </cfRule>
    <cfRule type="expression" dxfId="8132" priority="23101">
      <formula>IF($B35="Quoting",TRUE,FALSE)</formula>
    </cfRule>
    <cfRule type="expression" dxfId="8131" priority="23102">
      <formula>IF($B35="Quoting",TRUE,FALSE)</formula>
    </cfRule>
    <cfRule type="expression" dxfId="8130" priority="23103">
      <formula>IF($B35="Quoting",TRUE,FALSE)</formula>
    </cfRule>
    <cfRule type="expression" dxfId="8129" priority="23104">
      <formula>IF($B35="Quoting",TRUE,FALSE)</formula>
    </cfRule>
    <cfRule type="expression" dxfId="8128" priority="23105">
      <formula>IF($B35="Quoting",TRUE,FALSE)</formula>
    </cfRule>
    <cfRule type="expression" dxfId="8127" priority="23106">
      <formula>IF($B35="Quoting",TRUE,FALSE)</formula>
    </cfRule>
    <cfRule type="expression" dxfId="8126" priority="23107">
      <formula>IF($B35="Quoting",TRUE,FALSE)</formula>
    </cfRule>
    <cfRule type="expression" dxfId="8125" priority="23108">
      <formula>IF($B35="Quoting",TRUE,FALSE)</formula>
    </cfRule>
    <cfRule type="expression" dxfId="8124" priority="23109">
      <formula>IF($B35="Quoting",TRUE,FALSE)</formula>
    </cfRule>
    <cfRule type="expression" dxfId="8123" priority="23110">
      <formula>IF($B35="Quoting",TRUE,FALSE)</formula>
    </cfRule>
    <cfRule type="expression" dxfId="8122" priority="23111">
      <formula>IF($B35="Quoting",TRUE,FALSE)</formula>
    </cfRule>
    <cfRule type="expression" dxfId="8121" priority="23112">
      <formula>IF($B35="Quoting",TRUE,FALSE)</formula>
    </cfRule>
    <cfRule type="expression" dxfId="8120" priority="23113">
      <formula>IF($B35="Quoting",TRUE,FALSE)</formula>
    </cfRule>
    <cfRule type="expression" dxfId="8119" priority="23114">
      <formula>IF($B35="Quoting",TRUE,FALSE)</formula>
    </cfRule>
    <cfRule type="expression" dxfId="8118" priority="23115">
      <formula>IF($B35="Quoting",TRUE,FALSE)</formula>
    </cfRule>
    <cfRule type="expression" dxfId="8117" priority="23116">
      <formula>IF($B35="Quoting",TRUE,FALSE)</formula>
    </cfRule>
    <cfRule type="expression" dxfId="8116" priority="23117">
      <formula>IF($B35="Quoting",TRUE,FALSE)</formula>
    </cfRule>
    <cfRule type="expression" dxfId="8115" priority="23118">
      <formula>IF($B35="Quoting",TRUE,FALSE)</formula>
    </cfRule>
    <cfRule type="expression" dxfId="8114" priority="23119">
      <formula>IF($B35="Quoting",TRUE,FALSE)</formula>
    </cfRule>
    <cfRule type="expression" dxfId="8113" priority="23120">
      <formula>IF($B35="Quoting",TRUE,FALSE)</formula>
    </cfRule>
    <cfRule type="expression" dxfId="8112" priority="23121">
      <formula>IF($B35="Quoting",TRUE,FALSE)</formula>
    </cfRule>
    <cfRule type="expression" dxfId="8111" priority="23122">
      <formula>IF($B35="Quoting",TRUE,FALSE)</formula>
    </cfRule>
    <cfRule type="expression" dxfId="8110" priority="23123">
      <formula>IF($B35="Quoting",TRUE,FALSE)</formula>
    </cfRule>
    <cfRule type="expression" dxfId="8109" priority="23124">
      <formula>IF($B35="Quoting",TRUE,FALSE)</formula>
    </cfRule>
    <cfRule type="expression" dxfId="8108" priority="23125">
      <formula>IF($B35="Quoting",TRUE,FALSE)</formula>
    </cfRule>
    <cfRule type="expression" dxfId="8107" priority="23126">
      <formula>IF($B35="Quoting",TRUE,FALSE)</formula>
    </cfRule>
    <cfRule type="expression" dxfId="8106" priority="23127">
      <formula>IF($B35="Quoting",TRUE,FALSE)</formula>
    </cfRule>
    <cfRule type="expression" dxfId="8105" priority="23128">
      <formula>IF($B35="Quoting",TRUE,FALSE)</formula>
    </cfRule>
    <cfRule type="expression" dxfId="8104" priority="23129">
      <formula>IF($B35="Quoting",TRUE,FALSE)</formula>
    </cfRule>
    <cfRule type="expression" dxfId="8103" priority="23130">
      <formula>IF($B35="Quoting",TRUE,FALSE)</formula>
    </cfRule>
    <cfRule type="expression" dxfId="8102" priority="23131">
      <formula>IF($B35="Quoting",TRUE,FALSE)</formula>
    </cfRule>
    <cfRule type="expression" dxfId="8101" priority="23132">
      <formula>IF($B35="Quoting",TRUE,FALSE)</formula>
    </cfRule>
    <cfRule type="expression" dxfId="8100" priority="23133">
      <formula>IF($B35="Quoting",TRUE,FALSE)</formula>
    </cfRule>
    <cfRule type="expression" dxfId="8099" priority="23134">
      <formula>IF($B35="Quoting",TRUE,FALSE)</formula>
    </cfRule>
    <cfRule type="expression" dxfId="8098" priority="23135">
      <formula>IF($B35="Quoting",TRUE,FALSE)</formula>
    </cfRule>
    <cfRule type="expression" dxfId="8097" priority="23136">
      <formula>IF($B35="Quoting",TRUE,FALSE)</formula>
    </cfRule>
    <cfRule type="expression" dxfId="8096" priority="23137">
      <formula>IF($B35="Quoting",TRUE,FALSE)</formula>
    </cfRule>
    <cfRule type="expression" dxfId="8095" priority="23138">
      <formula>IF($B35="Quoting",TRUE,FALSE)</formula>
    </cfRule>
    <cfRule type="expression" dxfId="8094" priority="23139">
      <formula>IF($B35="Quoting",TRUE,FALSE)</formula>
    </cfRule>
    <cfRule type="expression" dxfId="8093" priority="23140">
      <formula>IF($B35="Quoting",TRUE,FALSE)</formula>
    </cfRule>
    <cfRule type="expression" dxfId="8092" priority="23141">
      <formula>IF($B35="Quoting",TRUE,FALSE)</formula>
    </cfRule>
    <cfRule type="expression" dxfId="8091" priority="23142">
      <formula>IF($B35="Quoting",TRUE,FALSE)</formula>
    </cfRule>
    <cfRule type="expression" dxfId="8090" priority="23143">
      <formula>IF($B35="Quoting",TRUE,FALSE)</formula>
    </cfRule>
    <cfRule type="expression" dxfId="8089" priority="23144">
      <formula>IF($B35="Quoting",TRUE,FALSE)</formula>
    </cfRule>
    <cfRule type="expression" dxfId="8088" priority="23145">
      <formula>IF($B35="Quoting",TRUE,FALSE)</formula>
    </cfRule>
    <cfRule type="expression" dxfId="8087" priority="23146">
      <formula>IF($B35="Quoting",TRUE,FALSE)</formula>
    </cfRule>
    <cfRule type="expression" dxfId="8086" priority="23147">
      <formula>IF($B35="Quoting",TRUE,FALSE)</formula>
    </cfRule>
    <cfRule type="expression" dxfId="8085" priority="23148">
      <formula>IF($B35="Quoting",TRUE,FALSE)</formula>
    </cfRule>
    <cfRule type="expression" dxfId="8084" priority="23149">
      <formula>IF($B35="Quoting",TRUE,FALSE)</formula>
    </cfRule>
    <cfRule type="expression" dxfId="8083" priority="23150">
      <formula>IF($B35="Quoting",TRUE,FALSE)</formula>
    </cfRule>
    <cfRule type="expression" dxfId="8082" priority="23151">
      <formula>IF($B35="Quoting",TRUE,FALSE)</formula>
    </cfRule>
    <cfRule type="expression" dxfId="8081" priority="23152">
      <formula>IF($B35="Quoting",TRUE,FALSE)</formula>
    </cfRule>
    <cfRule type="expression" dxfId="8080" priority="23153">
      <formula>IF($B35="Quoting",TRUE,FALSE)</formula>
    </cfRule>
    <cfRule type="expression" dxfId="8079" priority="23154">
      <formula>IF($B35="Quoting",TRUE,FALSE)</formula>
    </cfRule>
    <cfRule type="expression" dxfId="8078" priority="23155">
      <formula>IF($B35="Quoting",TRUE,FALSE)</formula>
    </cfRule>
    <cfRule type="expression" dxfId="8077" priority="23156">
      <formula>IF($B35="Quoting",TRUE,FALSE)</formula>
    </cfRule>
    <cfRule type="expression" dxfId="8076" priority="23157">
      <formula>IF($B35="Quoting",TRUE,FALSE)</formula>
    </cfRule>
    <cfRule type="expression" dxfId="8075" priority="23158">
      <formula>IF($B35="Quoting",TRUE,FALSE)</formula>
    </cfRule>
    <cfRule type="expression" dxfId="8074" priority="23159">
      <formula>IF($B35="Quoting",TRUE,FALSE)</formula>
    </cfRule>
    <cfRule type="expression" dxfId="8073" priority="23160">
      <formula>IF($B35="Quoting",TRUE,FALSE)</formula>
    </cfRule>
    <cfRule type="expression" dxfId="8072" priority="23161">
      <formula>IF($B35="Quoting",TRUE,FALSE)</formula>
    </cfRule>
    <cfRule type="expression" dxfId="8071" priority="23162">
      <formula>IF($B35="Quoting",TRUE,FALSE)</formula>
    </cfRule>
    <cfRule type="expression" dxfId="8070" priority="23163">
      <formula>IF($B35="Quoting",TRUE,FALSE)</formula>
    </cfRule>
    <cfRule type="expression" dxfId="8069" priority="23164">
      <formula>IF($B35="Quoting",TRUE,FALSE)</formula>
    </cfRule>
    <cfRule type="expression" dxfId="8068" priority="23165">
      <formula>IF($B35="Quoting",TRUE,FALSE)</formula>
    </cfRule>
    <cfRule type="expression" dxfId="8067" priority="23166">
      <formula>IF($B35="Quoting",TRUE,FALSE)</formula>
    </cfRule>
    <cfRule type="expression" dxfId="8066" priority="23167">
      <formula>IF($B35="Quoting",TRUE,FALSE)</formula>
    </cfRule>
    <cfRule type="expression" dxfId="8065" priority="23168">
      <formula>IF($B35="Quoting",TRUE,FALSE)</formula>
    </cfRule>
    <cfRule type="expression" dxfId="8064" priority="23169">
      <formula>IF($B35="Quoting",TRUE,FALSE)</formula>
    </cfRule>
    <cfRule type="expression" dxfId="8063" priority="23170">
      <formula>IF($B35="Quoting",TRUE,FALSE)</formula>
    </cfRule>
    <cfRule type="expression" dxfId="8062" priority="23171">
      <formula>IF($B35="Quoting",TRUE,FALSE)</formula>
    </cfRule>
    <cfRule type="expression" dxfId="8061" priority="23172">
      <formula>IF($B35="Quoting",TRUE,FALSE)</formula>
    </cfRule>
    <cfRule type="expression" dxfId="8060" priority="23173">
      <formula>IF($B35="Quoting",TRUE,FALSE)</formula>
    </cfRule>
    <cfRule type="expression" dxfId="8059" priority="23174">
      <formula>IF($B35="Quoting",TRUE,FALSE)</formula>
    </cfRule>
    <cfRule type="expression" dxfId="8058" priority="23175">
      <formula>IF($B35="Quoting",TRUE,FALSE)</formula>
    </cfRule>
    <cfRule type="expression" dxfId="8057" priority="23176">
      <formula>IF($B35="Quoting",TRUE,FALSE)</formula>
    </cfRule>
    <cfRule type="expression" dxfId="8056" priority="23177">
      <formula>IF($B35="Quoting",TRUE,FALSE)</formula>
    </cfRule>
    <cfRule type="expression" dxfId="8055" priority="23178">
      <formula>IF($B35="Quoting",TRUE,FALSE)</formula>
    </cfRule>
    <cfRule type="expression" dxfId="8054" priority="23179">
      <formula>IF($B35="Quoting",TRUE,FALSE)</formula>
    </cfRule>
    <cfRule type="expression" dxfId="8053" priority="23180">
      <formula>IF($B35="Quoting",TRUE,FALSE)</formula>
    </cfRule>
    <cfRule type="expression" dxfId="8052" priority="23181">
      <formula>IF($B35="Quoting",TRUE,FALSE)</formula>
    </cfRule>
    <cfRule type="expression" dxfId="8051" priority="23182">
      <formula>IF($B35="Quoting",TRUE,FALSE)</formula>
    </cfRule>
    <cfRule type="expression" dxfId="8050" priority="23183">
      <formula>IF($B35="Quoting",TRUE,FALSE)</formula>
    </cfRule>
    <cfRule type="expression" dxfId="8049" priority="23184">
      <formula>IF($B35="Quoting",TRUE,FALSE)</formula>
    </cfRule>
    <cfRule type="expression" dxfId="8048" priority="23185">
      <formula>IF($B35="Quoting",TRUE,FALSE)</formula>
    </cfRule>
    <cfRule type="expression" dxfId="8047" priority="23186">
      <formula>IF($B35="Quoting",TRUE,FALSE)</formula>
    </cfRule>
    <cfRule type="expression" dxfId="8046" priority="23187">
      <formula>IF($B35="Quoting",TRUE,FALSE)</formula>
    </cfRule>
    <cfRule type="expression" dxfId="8045" priority="23188">
      <formula>IF($B35="Quoting",TRUE,FALSE)</formula>
    </cfRule>
    <cfRule type="expression" dxfId="8044" priority="23189">
      <formula>IF($B35="Quoting",TRUE,FALSE)</formula>
    </cfRule>
    <cfRule type="expression" dxfId="8043" priority="23190">
      <formula>IF($B35="Quoting",TRUE,FALSE)</formula>
    </cfRule>
    <cfRule type="expression" dxfId="8042" priority="23191">
      <formula>IF($B35="Quoting",TRUE,FALSE)</formula>
    </cfRule>
    <cfRule type="expression" dxfId="8041" priority="23192">
      <formula>IF($B35="Quoting",TRUE,FALSE)</formula>
    </cfRule>
    <cfRule type="expression" dxfId="8040" priority="23193">
      <formula>IF($B35="Quoting",TRUE,FALSE)</formula>
    </cfRule>
    <cfRule type="expression" dxfId="8039" priority="23194">
      <formula>IF($B35="Quoting",TRUE,FALSE)</formula>
    </cfRule>
    <cfRule type="expression" dxfId="8038" priority="23195">
      <formula>IF($B35="Quoting",TRUE,FALSE)</formula>
    </cfRule>
    <cfRule type="expression" dxfId="8037" priority="23196">
      <formula>IF($B35="Quoting",TRUE,FALSE)</formula>
    </cfRule>
    <cfRule type="expression" dxfId="8036" priority="23197">
      <formula>IF($B35="Quoting",TRUE,FALSE)</formula>
    </cfRule>
    <cfRule type="expression" dxfId="8035" priority="23198">
      <formula>IF($B35="Quoting",TRUE,FALSE)</formula>
    </cfRule>
    <cfRule type="expression" dxfId="8034" priority="23199">
      <formula>IF($B35="Quoting",TRUE,FALSE)</formula>
    </cfRule>
    <cfRule type="expression" dxfId="8033" priority="23200">
      <formula>IF($B35="Quoting",TRUE,FALSE)</formula>
    </cfRule>
    <cfRule type="expression" dxfId="8032" priority="23201">
      <formula>IF($B35="Quoting",TRUE,FALSE)</formula>
    </cfRule>
    <cfRule type="expression" dxfId="8031" priority="23202">
      <formula>IF($B35="Quoting",TRUE,FALSE)</formula>
    </cfRule>
    <cfRule type="expression" dxfId="8030" priority="23203">
      <formula>IF($B35="Quoting",TRUE,FALSE)</formula>
    </cfRule>
    <cfRule type="expression" dxfId="8029" priority="23204">
      <formula>IF($B35="Quoting",TRUE,FALSE)</formula>
    </cfRule>
    <cfRule type="expression" dxfId="8028" priority="23205">
      <formula>IF($B35="Quoting",TRUE,FALSE)</formula>
    </cfRule>
    <cfRule type="expression" dxfId="8027" priority="23206">
      <formula>IF($B35="Quoting",TRUE,FALSE)</formula>
    </cfRule>
    <cfRule type="expression" dxfId="8026" priority="23207">
      <formula>IF($B35="Quoting",TRUE,FALSE)</formula>
    </cfRule>
    <cfRule type="expression" dxfId="8025" priority="23208">
      <formula>IF($B35="Quoting",TRUE,FALSE)</formula>
    </cfRule>
    <cfRule type="expression" dxfId="8024" priority="23209">
      <formula>IF($B35="Quoting",TRUE,FALSE)</formula>
    </cfRule>
    <cfRule type="expression" dxfId="8023" priority="23210">
      <formula>IF($B35="Quoting",TRUE,FALSE)</formula>
    </cfRule>
    <cfRule type="expression" dxfId="8022" priority="23211">
      <formula>IF($B35="Quoting",TRUE,FALSE)</formula>
    </cfRule>
    <cfRule type="expression" dxfId="8021" priority="23212">
      <formula>IF($B35="Quoting",TRUE,FALSE)</formula>
    </cfRule>
    <cfRule type="expression" dxfId="8020" priority="23213">
      <formula>IF($B35="Quoting",TRUE,FALSE)</formula>
    </cfRule>
    <cfRule type="expression" dxfId="8019" priority="23214">
      <formula>IF($B35="Quoting",TRUE,FALSE)</formula>
    </cfRule>
    <cfRule type="expression" dxfId="8018" priority="23215">
      <formula>IF($B35="Quoting",TRUE,FALSE)</formula>
    </cfRule>
    <cfRule type="expression" dxfId="8017" priority="23216">
      <formula>IF($B35="Quoting",TRUE,FALSE)</formula>
    </cfRule>
    <cfRule type="expression" dxfId="8016" priority="23217">
      <formula>IF($B35="Quoting",TRUE,FALSE)</formula>
    </cfRule>
    <cfRule type="expression" dxfId="8015" priority="23218">
      <formula>IF($B35="Quoting",TRUE,FALSE)</formula>
    </cfRule>
    <cfRule type="expression" dxfId="8014" priority="23219">
      <formula>IF($B35="Quoting",TRUE,FALSE)</formula>
    </cfRule>
    <cfRule type="expression" dxfId="8013" priority="23220">
      <formula>IF($B35="Quoting",TRUE,FALSE)</formula>
    </cfRule>
    <cfRule type="expression" dxfId="8012" priority="23221">
      <formula>IF($B35="Quoting",TRUE,FALSE)</formula>
    </cfRule>
    <cfRule type="expression" dxfId="8011" priority="23222">
      <formula>IF($B35="Quoting",TRUE,FALSE)</formula>
    </cfRule>
    <cfRule type="expression" dxfId="8010" priority="23223">
      <formula>IF($B35="Quoting",TRUE,FALSE)</formula>
    </cfRule>
    <cfRule type="expression" dxfId="8009" priority="23224">
      <formula>IF($B35="Quoting",TRUE,FALSE)</formula>
    </cfRule>
    <cfRule type="expression" dxfId="8008" priority="23225">
      <formula>IF($B35="Quoting",TRUE,FALSE)</formula>
    </cfRule>
    <cfRule type="expression" dxfId="8007" priority="23226">
      <formula>IF($B35="Quoting",TRUE,FALSE)</formula>
    </cfRule>
    <cfRule type="expression" dxfId="8006" priority="23227">
      <formula>IF($B35="Quoting",TRUE,FALSE)</formula>
    </cfRule>
    <cfRule type="expression" dxfId="8005" priority="23228">
      <formula>IF($B35="Quoting",TRUE,FALSE)</formula>
    </cfRule>
    <cfRule type="expression" dxfId="8004" priority="23229">
      <formula>IF($B35="Quoting",TRUE,FALSE)</formula>
    </cfRule>
    <cfRule type="expression" dxfId="8003" priority="23230">
      <formula>IF($B35="Quoting",TRUE,FALSE)</formula>
    </cfRule>
    <cfRule type="expression" dxfId="8002" priority="23231">
      <formula>IF($B35="Quoting",TRUE,FALSE)</formula>
    </cfRule>
    <cfRule type="expression" dxfId="8001" priority="23232">
      <formula>IF($B35="Quoting",TRUE,FALSE)</formula>
    </cfRule>
    <cfRule type="expression" dxfId="8000" priority="23233">
      <formula>IF($B35="Quoting",TRUE,FALSE)</formula>
    </cfRule>
    <cfRule type="expression" dxfId="7999" priority="23234">
      <formula>IF($B35="Quoting",TRUE,FALSE)</formula>
    </cfRule>
    <cfRule type="expression" dxfId="7998" priority="23235">
      <formula>IF($B35="Quoting",TRUE,FALSE)</formula>
    </cfRule>
    <cfRule type="expression" dxfId="7997" priority="23236">
      <formula>IF($B35="Quoting",TRUE,FALSE)</formula>
    </cfRule>
    <cfRule type="expression" dxfId="7996" priority="23237">
      <formula>IF($B35="Quoting",TRUE,FALSE)</formula>
    </cfRule>
    <cfRule type="expression" dxfId="7995" priority="23238">
      <formula>IF($B35="Quoting",TRUE,FALSE)</formula>
    </cfRule>
    <cfRule type="expression" dxfId="7994" priority="23239">
      <formula>IF($B35="Quoting",TRUE,FALSE)</formula>
    </cfRule>
    <cfRule type="expression" dxfId="7993" priority="23240">
      <formula>IF($B35="Quoting",TRUE,FALSE)</formula>
    </cfRule>
    <cfRule type="expression" dxfId="7992" priority="23241">
      <formula>IF($B35="Quoting",TRUE,FALSE)</formula>
    </cfRule>
    <cfRule type="expression" dxfId="7991" priority="23242">
      <formula>IF($B35="Quoting",TRUE,FALSE)</formula>
    </cfRule>
    <cfRule type="expression" dxfId="7990" priority="23243">
      <formula>IF($B35="Quoting",TRUE,FALSE)</formula>
    </cfRule>
    <cfRule type="expression" dxfId="7989" priority="23244">
      <formula>IF($B35="Quoting",TRUE,FALSE)</formula>
    </cfRule>
    <cfRule type="expression" dxfId="7988" priority="23245">
      <formula>IF($B35="Quoting",TRUE,FALSE)</formula>
    </cfRule>
    <cfRule type="expression" dxfId="7987" priority="23246">
      <formula>IF($B35="Quoting",TRUE,FALSE)</formula>
    </cfRule>
    <cfRule type="expression" dxfId="7986" priority="23247">
      <formula>IF($B35="Quoting",TRUE,FALSE)</formula>
    </cfRule>
    <cfRule type="expression" dxfId="7985" priority="23248">
      <formula>IF($B35="Quoting",TRUE,FALSE)</formula>
    </cfRule>
    <cfRule type="expression" dxfId="7984" priority="23249">
      <formula>IF($B35="Quoting",TRUE,FALSE)</formula>
    </cfRule>
    <cfRule type="expression" dxfId="7983" priority="23250">
      <formula>IF($B35="Quoting",TRUE,FALSE)</formula>
    </cfRule>
    <cfRule type="expression" dxfId="7982" priority="23251">
      <formula>IF($B35="Quoting",TRUE,FALSE)</formula>
    </cfRule>
    <cfRule type="expression" dxfId="7981" priority="23252">
      <formula>IF($B35="Quoting",TRUE,FALSE)</formula>
    </cfRule>
    <cfRule type="expression" dxfId="7980" priority="23253">
      <formula>IF($B35="Quoting",TRUE,FALSE)</formula>
    </cfRule>
    <cfRule type="expression" dxfId="7979" priority="23254">
      <formula>IF($B35="Quoting",TRUE,FALSE)</formula>
    </cfRule>
    <cfRule type="expression" dxfId="7978" priority="23255">
      <formula>IF($B35="Quoting",TRUE,FALSE)</formula>
    </cfRule>
    <cfRule type="expression" dxfId="7977" priority="23256">
      <formula>IF($B35="Quoting",TRUE,FALSE)</formula>
    </cfRule>
    <cfRule type="expression" dxfId="7976" priority="23257">
      <formula>IF($B35="Quoting",TRUE,FALSE)</formula>
    </cfRule>
    <cfRule type="expression" dxfId="7975" priority="23258">
      <formula>IF($B35="Quoting",TRUE,FALSE)</formula>
    </cfRule>
    <cfRule type="expression" dxfId="7974" priority="23259">
      <formula>IF($B35="Quoting",TRUE,FALSE)</formula>
    </cfRule>
    <cfRule type="expression" dxfId="7973" priority="23260">
      <formula>IF($B35="Quoting",TRUE,FALSE)</formula>
    </cfRule>
    <cfRule type="expression" dxfId="7972" priority="23261">
      <formula>IF($B35="Quoting",TRUE,FALSE)</formula>
    </cfRule>
    <cfRule type="expression" dxfId="7971" priority="23262">
      <formula>IF($B35="Quoting",TRUE,FALSE)</formula>
    </cfRule>
    <cfRule type="expression" dxfId="7970" priority="23263">
      <formula>IF($B35="Quoting",TRUE,FALSE)</formula>
    </cfRule>
    <cfRule type="expression" dxfId="7969" priority="23264">
      <formula>IF($B35="Quoting",TRUE,FALSE)</formula>
    </cfRule>
    <cfRule type="expression" dxfId="7968" priority="23265">
      <formula>IF($B35="Quoting",TRUE,FALSE)</formula>
    </cfRule>
    <cfRule type="expression" dxfId="7967" priority="23266">
      <formula>IF($B35="Quoting",TRUE,FALSE)</formula>
    </cfRule>
    <cfRule type="expression" dxfId="7966" priority="23267">
      <formula>IF($B35="Quoting",TRUE,FALSE)</formula>
    </cfRule>
    <cfRule type="expression" dxfId="7965" priority="23268">
      <formula>IF($B35="Quoting",TRUE,FALSE)</formula>
    </cfRule>
    <cfRule type="expression" dxfId="7964" priority="23269">
      <formula>IF($B35="Quoting",TRUE,FALSE)</formula>
    </cfRule>
    <cfRule type="expression" dxfId="7963" priority="23270">
      <formula>IF($B35="Quoting",TRUE,FALSE)</formula>
    </cfRule>
    <cfRule type="expression" dxfId="7962" priority="23271">
      <formula>IF($B35="Quoting",TRUE,FALSE)</formula>
    </cfRule>
    <cfRule type="expression" dxfId="7961" priority="23272">
      <formula>IF($B35="Quoting",TRUE,FALSE)</formula>
    </cfRule>
    <cfRule type="expression" dxfId="7960" priority="23273">
      <formula>IF($B35="Quoting",TRUE,FALSE)</formula>
    </cfRule>
    <cfRule type="expression" dxfId="7959" priority="23274">
      <formula>IF($B35="Quoting",TRUE,FALSE)</formula>
    </cfRule>
    <cfRule type="expression" dxfId="7958" priority="23275">
      <formula>IF($B35="Quoting",TRUE,FALSE)</formula>
    </cfRule>
    <cfRule type="expression" dxfId="7957" priority="23276">
      <formula>IF($B35="Quoting",TRUE,FALSE)</formula>
    </cfRule>
    <cfRule type="expression" dxfId="7956" priority="23277">
      <formula>IF($B35="Quoting",TRUE,FALSE)</formula>
    </cfRule>
    <cfRule type="expression" dxfId="7955" priority="23278">
      <formula>IF($B35="Quoting",TRUE,FALSE)</formula>
    </cfRule>
    <cfRule type="expression" dxfId="7954" priority="23279">
      <formula>IF($B35="Quoting",TRUE,FALSE)</formula>
    </cfRule>
    <cfRule type="expression" dxfId="7953" priority="23280">
      <formula>IF($B35="Quoting",TRUE,FALSE)</formula>
    </cfRule>
    <cfRule type="expression" dxfId="7952" priority="23281">
      <formula>IF($B35="Quoting",TRUE,FALSE)</formula>
    </cfRule>
    <cfRule type="expression" dxfId="7951" priority="23282">
      <formula>IF($B35="Quoting",TRUE,FALSE)</formula>
    </cfRule>
    <cfRule type="expression" dxfId="7950" priority="23283">
      <formula>IF($B35="Quoting",TRUE,FALSE)</formula>
    </cfRule>
    <cfRule type="expression" dxfId="7949" priority="23284">
      <formula>IF($B35="Quoting",TRUE,FALSE)</formula>
    </cfRule>
    <cfRule type="expression" dxfId="7948" priority="23285">
      <formula>IF($B35="Quoting",TRUE,FALSE)</formula>
    </cfRule>
    <cfRule type="expression" dxfId="7947" priority="23286">
      <formula>IF($B35="Quoting",TRUE,FALSE)</formula>
    </cfRule>
    <cfRule type="expression" dxfId="7946" priority="23287">
      <formula>IF($B35="Quoting",TRUE,FALSE)</formula>
    </cfRule>
    <cfRule type="expression" dxfId="7945" priority="23288">
      <formula>IF($B35="Quoting",TRUE,FALSE)</formula>
    </cfRule>
    <cfRule type="expression" dxfId="7944" priority="23289">
      <formula>IF($B35="Quoting",TRUE,FALSE)</formula>
    </cfRule>
    <cfRule type="expression" dxfId="7943" priority="23290">
      <formula>IF($B35="Quoting",TRUE,FALSE)</formula>
    </cfRule>
    <cfRule type="expression" dxfId="7942" priority="23291">
      <formula>IF($B35="Quoting",TRUE,FALSE)</formula>
    </cfRule>
    <cfRule type="expression" dxfId="7941" priority="23292">
      <formula>IF($B35="Quoting",TRUE,FALSE)</formula>
    </cfRule>
    <cfRule type="expression" dxfId="7940" priority="23293">
      <formula>IF($B35="Quoting",TRUE,FALSE)</formula>
    </cfRule>
    <cfRule type="expression" dxfId="7939" priority="23294">
      <formula>IF($B35="Quoting",TRUE,FALSE)</formula>
    </cfRule>
    <cfRule type="expression" dxfId="7938" priority="23295">
      <formula>IF($B35="Quoting",TRUE,FALSE)</formula>
    </cfRule>
    <cfRule type="expression" dxfId="7937" priority="23296">
      <formula>IF($B35="Quoting",TRUE,FALSE)</formula>
    </cfRule>
    <cfRule type="expression" dxfId="7936" priority="23297">
      <formula>IF($B35="Quoting",TRUE,FALSE)</formula>
    </cfRule>
    <cfRule type="expression" dxfId="7935" priority="23298">
      <formula>IF($B35="Quoting",TRUE,FALSE)</formula>
    </cfRule>
    <cfRule type="expression" dxfId="7934" priority="23299">
      <formula>IF($B35="Quoting",TRUE,FALSE)</formula>
    </cfRule>
    <cfRule type="expression" dxfId="7933" priority="23300">
      <formula>IF($B35="Quoting",TRUE,FALSE)</formula>
    </cfRule>
    <cfRule type="expression" dxfId="7932" priority="23301">
      <formula>IF($B35="Quoting",TRUE,FALSE)</formula>
    </cfRule>
    <cfRule type="expression" dxfId="7931" priority="23302">
      <formula>IF($B35="Quoting",TRUE,FALSE)</formula>
    </cfRule>
    <cfRule type="expression" dxfId="7930" priority="23303">
      <formula>IF($B35="Quoting",TRUE,FALSE)</formula>
    </cfRule>
    <cfRule type="expression" dxfId="7929" priority="23304">
      <formula>IF($B35="Quoting",TRUE,FALSE)</formula>
    </cfRule>
    <cfRule type="expression" dxfId="7928" priority="23305">
      <formula>IF($B35="Quoting",TRUE,FALSE)</formula>
    </cfRule>
    <cfRule type="expression" dxfId="7927" priority="23306">
      <formula>IF($B35="Quoting",TRUE,FALSE)</formula>
    </cfRule>
    <cfRule type="expression" dxfId="7926" priority="23307">
      <formula>IF($B35="Quoting",TRUE,FALSE)</formula>
    </cfRule>
    <cfRule type="expression" dxfId="7925" priority="23308">
      <formula>IF($B35="Quoting",TRUE,FALSE)</formula>
    </cfRule>
    <cfRule type="expression" dxfId="7924" priority="23309">
      <formula>IF($B35="Quoting",TRUE,FALSE)</formula>
    </cfRule>
    <cfRule type="expression" dxfId="7923" priority="23310">
      <formula>IF($B35="Quoting",TRUE,FALSE)</formula>
    </cfRule>
    <cfRule type="expression" dxfId="7922" priority="23311">
      <formula>IF($B35="Quoting",TRUE,FALSE)</formula>
    </cfRule>
    <cfRule type="expression" dxfId="7921" priority="23312">
      <formula>IF($B35="Quoting",TRUE,FALSE)</formula>
    </cfRule>
    <cfRule type="expression" dxfId="7920" priority="23313">
      <formula>IF($B35="Quoting",TRUE,FALSE)</formula>
    </cfRule>
    <cfRule type="expression" dxfId="7919" priority="23314">
      <formula>IF($B35="Quoting",TRUE,FALSE)</formula>
    </cfRule>
    <cfRule type="expression" dxfId="7918" priority="23315">
      <formula>IF($B35="Quoting",TRUE,FALSE)</formula>
    </cfRule>
    <cfRule type="expression" dxfId="7917" priority="23316">
      <formula>IF($B35="Quoting",TRUE,FALSE)</formula>
    </cfRule>
    <cfRule type="expression" dxfId="7916" priority="23317">
      <formula>IF($B35="Quoting",TRUE,FALSE)</formula>
    </cfRule>
    <cfRule type="expression" dxfId="7915" priority="23318">
      <formula>IF($B35="Quoting",TRUE,FALSE)</formula>
    </cfRule>
    <cfRule type="expression" dxfId="7914" priority="23319">
      <formula>IF($B35="Quoting",TRUE,FALSE)</formula>
    </cfRule>
    <cfRule type="expression" dxfId="7913" priority="23320">
      <formula>IF($B35="Quoting",TRUE,FALSE)</formula>
    </cfRule>
    <cfRule type="expression" dxfId="7912" priority="23321">
      <formula>IF($B35="Quoting",TRUE,FALSE)</formula>
    </cfRule>
    <cfRule type="expression" dxfId="7911" priority="23322">
      <formula>IF($B35="Quoting",TRUE,FALSE)</formula>
    </cfRule>
    <cfRule type="expression" dxfId="7910" priority="23323">
      <formula>IF($B35="Quoting",TRUE,FALSE)</formula>
    </cfRule>
    <cfRule type="expression" dxfId="7909" priority="23324">
      <formula>IF($B35="Quoting",TRUE,FALSE)</formula>
    </cfRule>
    <cfRule type="expression" dxfId="7908" priority="23325">
      <formula>IF($B35="Quoting",TRUE,FALSE)</formula>
    </cfRule>
    <cfRule type="expression" dxfId="7907" priority="23326">
      <formula>IF($B35="Quoting",TRUE,FALSE)</formula>
    </cfRule>
    <cfRule type="expression" dxfId="7906" priority="23327">
      <formula>IF($B35="Quoting",TRUE,FALSE)</formula>
    </cfRule>
    <cfRule type="expression" dxfId="7905" priority="23328">
      <formula>IF($B35="Quoting",TRUE,FALSE)</formula>
    </cfRule>
    <cfRule type="expression" dxfId="7904" priority="23329">
      <formula>IF($B35="Quoting",TRUE,FALSE)</formula>
    </cfRule>
    <cfRule type="expression" dxfId="7903" priority="23330">
      <formula>IF($B35="Quoting",TRUE,FALSE)</formula>
    </cfRule>
    <cfRule type="expression" dxfId="7902" priority="23331">
      <formula>IF($B35="Quoting",TRUE,FALSE)</formula>
    </cfRule>
    <cfRule type="expression" dxfId="7901" priority="23332">
      <formula>IF($B35="Quoting",TRUE,FALSE)</formula>
    </cfRule>
    <cfRule type="expression" dxfId="7900" priority="23333">
      <formula>IF($B35="Quoting",TRUE,FALSE)</formula>
    </cfRule>
    <cfRule type="expression" dxfId="7899" priority="23334">
      <formula>IF($B35="Quoting",TRUE,FALSE)</formula>
    </cfRule>
    <cfRule type="expression" dxfId="7898" priority="23335">
      <formula>IF($B35="Quoting",TRUE,FALSE)</formula>
    </cfRule>
    <cfRule type="expression" dxfId="7897" priority="23336">
      <formula>IF($B35="Quoting",TRUE,FALSE)</formula>
    </cfRule>
    <cfRule type="expression" dxfId="7896" priority="23337">
      <formula>IF($B35="Quoting",TRUE,FALSE)</formula>
    </cfRule>
    <cfRule type="expression" dxfId="7895" priority="23338">
      <formula>IF($B35="Quoting",TRUE,FALSE)</formula>
    </cfRule>
    <cfRule type="expression" dxfId="7894" priority="23339">
      <formula>IF($B35="Quoting",TRUE,FALSE)</formula>
    </cfRule>
    <cfRule type="expression" dxfId="7893" priority="23340">
      <formula>IF($B35="Quoting",TRUE,FALSE)</formula>
    </cfRule>
    <cfRule type="expression" dxfId="7892" priority="23341">
      <formula>IF($B35="Quoting",TRUE,FALSE)</formula>
    </cfRule>
    <cfRule type="expression" dxfId="7891" priority="23342">
      <formula>IF($B35="Quoting",TRUE,FALSE)</formula>
    </cfRule>
    <cfRule type="expression" dxfId="7890" priority="23343">
      <formula>IF($B35="Quoting",TRUE,FALSE)</formula>
    </cfRule>
    <cfRule type="expression" dxfId="7889" priority="23344">
      <formula>IF($B35="Quoting",TRUE,FALSE)</formula>
    </cfRule>
    <cfRule type="expression" dxfId="7888" priority="23345">
      <formula>IF($B35="Quoting",TRUE,FALSE)</formula>
    </cfRule>
    <cfRule type="expression" dxfId="7887" priority="23346">
      <formula>IF($B35="Quoting",TRUE,FALSE)</formula>
    </cfRule>
    <cfRule type="expression" dxfId="7886" priority="23347">
      <formula>IF($B35="Quoting",TRUE,FALSE)</formula>
    </cfRule>
    <cfRule type="expression" dxfId="7885" priority="23348">
      <formula>IF($B35="Quoting",TRUE,FALSE)</formula>
    </cfRule>
    <cfRule type="expression" dxfId="7884" priority="23349">
      <formula>IF($B35="Quoting",TRUE,FALSE)</formula>
    </cfRule>
    <cfRule type="expression" dxfId="7883" priority="23350">
      <formula>IF($B35="Quoting",TRUE,FALSE)</formula>
    </cfRule>
    <cfRule type="expression" dxfId="7882" priority="23351">
      <formula>IF($B35="Quoting",TRUE,FALSE)</formula>
    </cfRule>
    <cfRule type="expression" dxfId="7881" priority="23352">
      <formula>IF($B35="Quoting",TRUE,FALSE)</formula>
    </cfRule>
    <cfRule type="expression" dxfId="7880" priority="23353">
      <formula>IF($B35="Quoting",TRUE,FALSE)</formula>
    </cfRule>
    <cfRule type="expression" dxfId="7879" priority="23354">
      <formula>IF($B35="Quoting",TRUE,FALSE)</formula>
    </cfRule>
    <cfRule type="expression" dxfId="7878" priority="23355">
      <formula>IF($B35="Quoting",TRUE,FALSE)</formula>
    </cfRule>
    <cfRule type="expression" dxfId="7877" priority="23356">
      <formula>IF($B35="Quoting",TRUE,FALSE)</formula>
    </cfRule>
    <cfRule type="expression" dxfId="7876" priority="23357">
      <formula>IF($B35="Quoting",TRUE,FALSE)</formula>
    </cfRule>
    <cfRule type="expression" dxfId="7875" priority="23358">
      <formula>IF($B35="Quoting",TRUE,FALSE)</formula>
    </cfRule>
    <cfRule type="expression" dxfId="7874" priority="23359">
      <formula>IF($B35="Quoting",TRUE,FALSE)</formula>
    </cfRule>
    <cfRule type="expression" dxfId="7873" priority="23360">
      <formula>IF($B35="Quoting",TRUE,FALSE)</formula>
    </cfRule>
    <cfRule type="expression" dxfId="7872" priority="23361">
      <formula>IF($B35="Quoting",TRUE,FALSE)</formula>
    </cfRule>
    <cfRule type="expression" dxfId="7871" priority="23362">
      <formula>IF($B35="Quoting",TRUE,FALSE)</formula>
    </cfRule>
    <cfRule type="expression" dxfId="7870" priority="23363">
      <formula>IF($B35="Quoting",TRUE,FALSE)</formula>
    </cfRule>
    <cfRule type="expression" dxfId="7869" priority="23364">
      <formula>IF($B35="Quoting",TRUE,FALSE)</formula>
    </cfRule>
    <cfRule type="expression" dxfId="7868" priority="23365">
      <formula>IF($B35="Quoting",TRUE,FALSE)</formula>
    </cfRule>
    <cfRule type="expression" dxfId="7867" priority="23366">
      <formula>IF($B35="Quoting",TRUE,FALSE)</formula>
    </cfRule>
    <cfRule type="expression" dxfId="7866" priority="23367">
      <formula>IF($B35="Quoting",TRUE,FALSE)</formula>
    </cfRule>
    <cfRule type="expression" dxfId="7865" priority="23368">
      <formula>IF($B35="Quoting",TRUE,FALSE)</formula>
    </cfRule>
    <cfRule type="expression" dxfId="7864" priority="23369">
      <formula>IF($B35="Quoting",TRUE,FALSE)</formula>
    </cfRule>
    <cfRule type="expression" dxfId="7863" priority="23370">
      <formula>IF($B35="Quoting",TRUE,FALSE)</formula>
    </cfRule>
    <cfRule type="expression" dxfId="7862" priority="23371">
      <formula>IF($B35="Quoting",TRUE,FALSE)</formula>
    </cfRule>
    <cfRule type="expression" dxfId="7861" priority="23372">
      <formula>IF($B35="Quoting",TRUE,FALSE)</formula>
    </cfRule>
    <cfRule type="expression" dxfId="7860" priority="23373">
      <formula>IF($B35="Quoting",TRUE,FALSE)</formula>
    </cfRule>
    <cfRule type="expression" dxfId="7859" priority="23374">
      <formula>IF($B35="Quoting",TRUE,FALSE)</formula>
    </cfRule>
    <cfRule type="expression" dxfId="7858" priority="23375">
      <formula>IF($B35="Quoting",TRUE,FALSE)</formula>
    </cfRule>
    <cfRule type="expression" dxfId="7857" priority="23376">
      <formula>IF($B35="Quoting",TRUE,FALSE)</formula>
    </cfRule>
    <cfRule type="expression" dxfId="7856" priority="23377">
      <formula>IF($B35="Quoting",TRUE,FALSE)</formula>
    </cfRule>
    <cfRule type="expression" dxfId="7855" priority="23378">
      <formula>IF($B35="Quoting",TRUE,FALSE)</formula>
    </cfRule>
    <cfRule type="expression" dxfId="7854" priority="23379">
      <formula>IF($B35="Quoting",TRUE,FALSE)</formula>
    </cfRule>
    <cfRule type="expression" dxfId="7853" priority="23380">
      <formula>IF($B35="Quoting",TRUE,FALSE)</formula>
    </cfRule>
    <cfRule type="expression" dxfId="7852" priority="23381">
      <formula>IF($B35="Quoting",TRUE,FALSE)</formula>
    </cfRule>
    <cfRule type="expression" dxfId="7851" priority="23382">
      <formula>IF($B35="Quoting",TRUE,FALSE)</formula>
    </cfRule>
    <cfRule type="expression" dxfId="7850" priority="23383">
      <formula>IF($B35="Quoting",TRUE,FALSE)</formula>
    </cfRule>
    <cfRule type="expression" dxfId="7849" priority="23384">
      <formula>IF($B35="Quoting",TRUE,FALSE)</formula>
    </cfRule>
    <cfRule type="expression" dxfId="7848" priority="23385">
      <formula>IF($B35="Quoting",TRUE,FALSE)</formula>
    </cfRule>
    <cfRule type="expression" dxfId="7847" priority="23386">
      <formula>IF($B35="Quoting",TRUE,FALSE)</formula>
    </cfRule>
    <cfRule type="expression" dxfId="7846" priority="23387">
      <formula>IF($B35="Quoting",TRUE,FALSE)</formula>
    </cfRule>
    <cfRule type="expression" dxfId="7845" priority="23388">
      <formula>IF($B35="Quoting",TRUE,FALSE)</formula>
    </cfRule>
    <cfRule type="expression" dxfId="7844" priority="23389">
      <formula>IF($B35="Quoting",TRUE,FALSE)</formula>
    </cfRule>
    <cfRule type="expression" dxfId="7843" priority="23390">
      <formula>IF($B35="Quoting",TRUE,FALSE)</formula>
    </cfRule>
    <cfRule type="expression" dxfId="7842" priority="23391">
      <formula>IF($B35="Quoting",TRUE,FALSE)</formula>
    </cfRule>
    <cfRule type="expression" dxfId="7841" priority="23392">
      <formula>IF($B35="Quoting",TRUE,FALSE)</formula>
    </cfRule>
    <cfRule type="expression" dxfId="7840" priority="23393">
      <formula>IF($B35="Quoting",TRUE,FALSE)</formula>
    </cfRule>
    <cfRule type="expression" dxfId="7839" priority="23394">
      <formula>IF($B35="Quoting",TRUE,FALSE)</formula>
    </cfRule>
    <cfRule type="expression" dxfId="7838" priority="23395">
      <formula>IF($B35="Quoting",TRUE,FALSE)</formula>
    </cfRule>
    <cfRule type="expression" dxfId="7837" priority="23396">
      <formula>IF($B35="Quoting",TRUE,FALSE)</formula>
    </cfRule>
    <cfRule type="expression" dxfId="7836" priority="23397">
      <formula>IF($B35="Quoting",TRUE,FALSE)</formula>
    </cfRule>
    <cfRule type="expression" dxfId="7835" priority="23398">
      <formula>IF($B35="Quoting",TRUE,FALSE)</formula>
    </cfRule>
    <cfRule type="expression" dxfId="7834" priority="23399">
      <formula>IF($B35="Quoting",TRUE,FALSE)</formula>
    </cfRule>
    <cfRule type="expression" dxfId="7833" priority="23400">
      <formula>IF($B35="Quoting",TRUE,FALSE)</formula>
    </cfRule>
    <cfRule type="expression" dxfId="7832" priority="23401">
      <formula>IF($B35="Quoting",TRUE,FALSE)</formula>
    </cfRule>
    <cfRule type="expression" dxfId="7831" priority="23402">
      <formula>IF($B35="Quoting",TRUE,FALSE)</formula>
    </cfRule>
    <cfRule type="expression" dxfId="7830" priority="23403">
      <formula>IF($B35="Quoting",TRUE,FALSE)</formula>
    </cfRule>
    <cfRule type="expression" dxfId="7829" priority="23404">
      <formula>IF($B35="Quoting",TRUE,FALSE)</formula>
    </cfRule>
    <cfRule type="expression" dxfId="7828" priority="23405">
      <formula>IF($B35="Quoting",TRUE,FALSE)</formula>
    </cfRule>
    <cfRule type="expression" dxfId="7827" priority="23406">
      <formula>IF($B35="Quoting",TRUE,FALSE)</formula>
    </cfRule>
    <cfRule type="expression" dxfId="7826" priority="23407">
      <formula>IF($B35="Quoting",TRUE,FALSE)</formula>
    </cfRule>
    <cfRule type="expression" dxfId="7825" priority="23408">
      <formula>IF($B35="Quoting",TRUE,FALSE)</formula>
    </cfRule>
    <cfRule type="expression" dxfId="7824" priority="23409">
      <formula>IF($B35="Quoting",TRUE,FALSE)</formula>
    </cfRule>
    <cfRule type="expression" dxfId="7823" priority="23410">
      <formula>IF($B35="Quoting",TRUE,FALSE)</formula>
    </cfRule>
    <cfRule type="expression" dxfId="7822" priority="23411">
      <formula>IF($B35="Quoting",TRUE,FALSE)</formula>
    </cfRule>
    <cfRule type="expression" dxfId="7821" priority="23412">
      <formula>IF($B35="Quoting",TRUE,FALSE)</formula>
    </cfRule>
    <cfRule type="expression" dxfId="7820" priority="23413">
      <formula>IF($B35="Quoting",TRUE,FALSE)</formula>
    </cfRule>
    <cfRule type="expression" dxfId="7819" priority="23414">
      <formula>IF($B35="Quoting",TRUE,FALSE)</formula>
    </cfRule>
    <cfRule type="expression" dxfId="7818" priority="23415">
      <formula>IF($B35="Quoting",TRUE,FALSE)</formula>
    </cfRule>
    <cfRule type="expression" dxfId="7817" priority="23416">
      <formula>IF($B35="Quoting",TRUE,FALSE)</formula>
    </cfRule>
    <cfRule type="expression" dxfId="7816" priority="23417">
      <formula>IF($B35="Quoting",TRUE,FALSE)</formula>
    </cfRule>
    <cfRule type="expression" dxfId="7815" priority="23418">
      <formula>IF($B35="Quoting",TRUE,FALSE)</formula>
    </cfRule>
    <cfRule type="expression" dxfId="7814" priority="23419">
      <formula>IF($B35="Quoting",TRUE,FALSE)</formula>
    </cfRule>
    <cfRule type="expression" dxfId="7813" priority="23420">
      <formula>IF($B35="Quoting",TRUE,FALSE)</formula>
    </cfRule>
    <cfRule type="expression" dxfId="7812" priority="23421">
      <formula>IF($B35="Quoting",TRUE,FALSE)</formula>
    </cfRule>
    <cfRule type="expression" dxfId="7811" priority="23422">
      <formula>IF($B35="Quoting",TRUE,FALSE)</formula>
    </cfRule>
    <cfRule type="expression" dxfId="7810" priority="23423">
      <formula>IF($B35="Quoting",TRUE,FALSE)</formula>
    </cfRule>
    <cfRule type="expression" dxfId="7809" priority="23424">
      <formula>IF($B35="Quoting",TRUE,FALSE)</formula>
    </cfRule>
    <cfRule type="expression" dxfId="7808" priority="23425">
      <formula>IF($B35="Quoting",TRUE,FALSE)</formula>
    </cfRule>
    <cfRule type="expression" dxfId="7807" priority="23426">
      <formula>IF($B35="Quoting",TRUE,FALSE)</formula>
    </cfRule>
    <cfRule type="expression" dxfId="7806" priority="23427">
      <formula>IF($B35="Quoting",TRUE,FALSE)</formula>
    </cfRule>
    <cfRule type="expression" dxfId="7805" priority="23428">
      <formula>IF($B35="Quoting",TRUE,FALSE)</formula>
    </cfRule>
    <cfRule type="expression" dxfId="7804" priority="23429">
      <formula>IF($B35="Quoting",TRUE,FALSE)</formula>
    </cfRule>
    <cfRule type="expression" dxfId="7803" priority="23430">
      <formula>IF($B35="Quoting",TRUE,FALSE)</formula>
    </cfRule>
    <cfRule type="expression" dxfId="7802" priority="23431">
      <formula>IF($B35="Quoting",TRUE,FALSE)</formula>
    </cfRule>
    <cfRule type="expression" dxfId="7801" priority="23432">
      <formula>IF($B35="Quoting",TRUE,FALSE)</formula>
    </cfRule>
    <cfRule type="expression" dxfId="7800" priority="23433">
      <formula>IF($B35="Quoting",TRUE,FALSE)</formula>
    </cfRule>
    <cfRule type="expression" dxfId="7799" priority="23434">
      <formula>IF($B35="Quoting",TRUE,FALSE)</formula>
    </cfRule>
    <cfRule type="expression" dxfId="7798" priority="23435">
      <formula>IF($B35="Quoting",TRUE,FALSE)</formula>
    </cfRule>
    <cfRule type="expression" dxfId="7797" priority="23436">
      <formula>IF($B35="Quoting",TRUE,FALSE)</formula>
    </cfRule>
    <cfRule type="expression" dxfId="7796" priority="23437">
      <formula>IF($B35="Quoting",TRUE,FALSE)</formula>
    </cfRule>
    <cfRule type="expression" dxfId="7795" priority="23438">
      <formula>IF($B35="Quoting",TRUE,FALSE)</formula>
    </cfRule>
    <cfRule type="expression" dxfId="7794" priority="23439">
      <formula>IF($B35="Quoting",TRUE,FALSE)</formula>
    </cfRule>
    <cfRule type="expression" dxfId="7793" priority="23440">
      <formula>IF($B35="Quoting",TRUE,FALSE)</formula>
    </cfRule>
    <cfRule type="expression" dxfId="7792" priority="23441">
      <formula>IF($B35="Quoting",TRUE,FALSE)</formula>
    </cfRule>
    <cfRule type="expression" dxfId="7791" priority="23442">
      <formula>IF($B35="Quoting",TRUE,FALSE)</formula>
    </cfRule>
    <cfRule type="expression" dxfId="7790" priority="23443">
      <formula>IF($B35="Quoting",TRUE,FALSE)</formula>
    </cfRule>
    <cfRule type="expression" dxfId="7789" priority="23444">
      <formula>IF($B35="Quoting",TRUE,FALSE)</formula>
    </cfRule>
  </conditionalFormatting>
  <conditionalFormatting sqref="G36">
    <cfRule type="expression" dxfId="7788" priority="14638">
      <formula>IF($B36="Quoting",TRUE,FALSE)</formula>
    </cfRule>
    <cfRule type="expression" dxfId="7787" priority="14639">
      <formula>IF($B36="Quoting",TRUE,FALSE)</formula>
    </cfRule>
    <cfRule type="expression" dxfId="7786" priority="14640">
      <formula>IF($B36="Quoting",TRUE,FALSE)</formula>
    </cfRule>
    <cfRule type="expression" dxfId="7785" priority="14641">
      <formula>IF($B36="Quoting",TRUE,FALSE)</formula>
    </cfRule>
    <cfRule type="expression" dxfId="7784" priority="14642">
      <formula>IF($B36="Quoting",TRUE,FALSE)</formula>
    </cfRule>
    <cfRule type="expression" dxfId="7783" priority="14643">
      <formula>IF($B36="Quoting",TRUE,FALSE)</formula>
    </cfRule>
    <cfRule type="expression" dxfId="7782" priority="14644">
      <formula>IF($B36="Quoting",TRUE,FALSE)</formula>
    </cfRule>
    <cfRule type="expression" dxfId="7781" priority="14645">
      <formula>IF($B36="Quoting",TRUE,FALSE)</formula>
    </cfRule>
    <cfRule type="expression" dxfId="7780" priority="14646">
      <formula>IF($B36="Quoting",TRUE,FALSE)</formula>
    </cfRule>
    <cfRule type="expression" dxfId="7779" priority="14647">
      <formula>IF($B36="Quoting",TRUE,FALSE)</formula>
    </cfRule>
    <cfRule type="expression" dxfId="7778" priority="14648">
      <formula>IF($B36="Quoting",TRUE,FALSE)</formula>
    </cfRule>
    <cfRule type="expression" dxfId="7777" priority="14649">
      <formula>IF($B36="Quoting",TRUE,FALSE)</formula>
    </cfRule>
    <cfRule type="expression" dxfId="7776" priority="14650">
      <formula>IF($B36="Quoting",TRUE,FALSE)</formula>
    </cfRule>
    <cfRule type="expression" dxfId="7775" priority="14651">
      <formula>IF($B36="Quoting",TRUE,FALSE)</formula>
    </cfRule>
    <cfRule type="expression" dxfId="7774" priority="14652">
      <formula>IF($B36="Quoting",TRUE,FALSE)</formula>
    </cfRule>
    <cfRule type="expression" dxfId="7773" priority="14653">
      <formula>IF($B36="Quoting",TRUE,FALSE)</formula>
    </cfRule>
    <cfRule type="expression" dxfId="7772" priority="14654">
      <formula>IF($B36="Quoting",TRUE,FALSE)</formula>
    </cfRule>
    <cfRule type="expression" dxfId="7771" priority="14655">
      <formula>IF($B36="Quoting",TRUE,FALSE)</formula>
    </cfRule>
    <cfRule type="expression" dxfId="7770" priority="14656">
      <formula>IF($B36="Quoting",TRUE,FALSE)</formula>
    </cfRule>
    <cfRule type="expression" dxfId="7769" priority="14657">
      <formula>IF($B36="Quoting",TRUE,FALSE)</formula>
    </cfRule>
    <cfRule type="expression" dxfId="7768" priority="14658">
      <formula>IF($B36="Quoting",TRUE,FALSE)</formula>
    </cfRule>
    <cfRule type="expression" dxfId="7767" priority="14659">
      <formula>IF($B36="Quoting",TRUE,FALSE)</formula>
    </cfRule>
    <cfRule type="expression" dxfId="7766" priority="14660">
      <formula>IF($B36="Quoting",TRUE,FALSE)</formula>
    </cfRule>
    <cfRule type="expression" dxfId="7765" priority="14661">
      <formula>IF($B36="Quoting",TRUE,FALSE)</formula>
    </cfRule>
    <cfRule type="expression" dxfId="7764" priority="14662">
      <formula>IF($B36="Quoting",TRUE,FALSE)</formula>
    </cfRule>
    <cfRule type="expression" dxfId="7763" priority="14663">
      <formula>IF($B36="Quoting",TRUE,FALSE)</formula>
    </cfRule>
    <cfRule type="expression" dxfId="7762" priority="14664">
      <formula>IF($B36="Quoting",TRUE,FALSE)</formula>
    </cfRule>
    <cfRule type="expression" dxfId="7761" priority="14665">
      <formula>IF($B36="Quoting",TRUE,FALSE)</formula>
    </cfRule>
    <cfRule type="expression" dxfId="7760" priority="14666">
      <formula>IF($B36="Quoting",TRUE,FALSE)</formula>
    </cfRule>
    <cfRule type="expression" dxfId="7759" priority="14667">
      <formula>IF($B36="Quoting",TRUE,FALSE)</formula>
    </cfRule>
    <cfRule type="expression" dxfId="7758" priority="14668">
      <formula>IF($B36="Quoting",TRUE,FALSE)</formula>
    </cfRule>
    <cfRule type="expression" dxfId="7757" priority="14669">
      <formula>IF($B36="Quoting",TRUE,FALSE)</formula>
    </cfRule>
    <cfRule type="expression" dxfId="7756" priority="14670">
      <formula>IF($B36="Quoting",TRUE,FALSE)</formula>
    </cfRule>
    <cfRule type="expression" dxfId="7755" priority="14671">
      <formula>IF($B36="Quoting",TRUE,FALSE)</formula>
    </cfRule>
    <cfRule type="expression" dxfId="7754" priority="14672">
      <formula>IF($B36="Quoting",TRUE,FALSE)</formula>
    </cfRule>
    <cfRule type="expression" dxfId="7753" priority="14673">
      <formula>IF($B36="Quoting",TRUE,FALSE)</formula>
    </cfRule>
    <cfRule type="expression" dxfId="7752" priority="14674">
      <formula>IF($B36="Quoting",TRUE,FALSE)</formula>
    </cfRule>
    <cfRule type="expression" dxfId="7751" priority="14675">
      <formula>IF($B36="Quoting",TRUE,FALSE)</formula>
    </cfRule>
    <cfRule type="expression" dxfId="7750" priority="14676">
      <formula>IF($B36="Quoting",TRUE,FALSE)</formula>
    </cfRule>
    <cfRule type="expression" dxfId="7749" priority="14677">
      <formula>IF($B36="Quoting",TRUE,FALSE)</formula>
    </cfRule>
    <cfRule type="expression" dxfId="7748" priority="14678">
      <formula>IF($B36="Quoting",TRUE,FALSE)</formula>
    </cfRule>
    <cfRule type="expression" dxfId="7747" priority="14679">
      <formula>IF($B36="Quoting",TRUE,FALSE)</formula>
    </cfRule>
    <cfRule type="expression" dxfId="7746" priority="14680">
      <formula>IF($B36="Quoting",TRUE,FALSE)</formula>
    </cfRule>
    <cfRule type="expression" dxfId="7745" priority="14681">
      <formula>IF($B36="Quoting",TRUE,FALSE)</formula>
    </cfRule>
    <cfRule type="expression" dxfId="7744" priority="14682">
      <formula>IF($B36="Quoting",TRUE,FALSE)</formula>
    </cfRule>
    <cfRule type="expression" dxfId="7743" priority="14683">
      <formula>IF($B36="Quoting",TRUE,FALSE)</formula>
    </cfRule>
    <cfRule type="expression" dxfId="7742" priority="14684">
      <formula>IF($B36="Quoting",TRUE,FALSE)</formula>
    </cfRule>
    <cfRule type="expression" dxfId="7741" priority="14685">
      <formula>IF($B36="Quoting",TRUE,FALSE)</formula>
    </cfRule>
    <cfRule type="expression" dxfId="7740" priority="14686">
      <formula>IF($B36="Quoting",TRUE,FALSE)</formula>
    </cfRule>
    <cfRule type="expression" dxfId="7739" priority="14687">
      <formula>IF($B36="Quoting",TRUE,FALSE)</formula>
    </cfRule>
    <cfRule type="expression" dxfId="7738" priority="14688">
      <formula>IF($B36="Quoting",TRUE,FALSE)</formula>
    </cfRule>
    <cfRule type="expression" dxfId="7737" priority="14689">
      <formula>IF($B36="Quoting",TRUE,FALSE)</formula>
    </cfRule>
    <cfRule type="expression" dxfId="7736" priority="14690">
      <formula>IF($B36="Quoting",TRUE,FALSE)</formula>
    </cfRule>
    <cfRule type="expression" dxfId="7735" priority="14691">
      <formula>IF($B36="Quoting",TRUE,FALSE)</formula>
    </cfRule>
    <cfRule type="expression" dxfId="7734" priority="14692">
      <formula>IF($B36="Quoting",TRUE,FALSE)</formula>
    </cfRule>
    <cfRule type="expression" dxfId="7733" priority="14693">
      <formula>IF($B36="Quoting",TRUE,FALSE)</formula>
    </cfRule>
    <cfRule type="expression" dxfId="7732" priority="14694">
      <formula>IF($B36="Quoting",TRUE,FALSE)</formula>
    </cfRule>
    <cfRule type="expression" dxfId="7731" priority="14695">
      <formula>IF($B36="Quoting",TRUE,FALSE)</formula>
    </cfRule>
    <cfRule type="expression" dxfId="7730" priority="14696">
      <formula>IF($B36="Quoting",TRUE,FALSE)</formula>
    </cfRule>
    <cfRule type="expression" dxfId="7729" priority="14697">
      <formula>IF($B36="Quoting",TRUE,FALSE)</formula>
    </cfRule>
    <cfRule type="expression" dxfId="7728" priority="14698">
      <formula>IF($B36="Quoting",TRUE,FALSE)</formula>
    </cfRule>
    <cfRule type="expression" dxfId="7727" priority="14699">
      <formula>IF($B36="Quoting",TRUE,FALSE)</formula>
    </cfRule>
    <cfRule type="expression" dxfId="7726" priority="14700">
      <formula>IF($B36="Quoting",TRUE,FALSE)</formula>
    </cfRule>
    <cfRule type="expression" dxfId="7725" priority="14701">
      <formula>IF($B36="Quoting",TRUE,FALSE)</formula>
    </cfRule>
    <cfRule type="expression" dxfId="7724" priority="14702">
      <formula>IF($B36="Quoting",TRUE,FALSE)</formula>
    </cfRule>
    <cfRule type="expression" dxfId="7723" priority="14703">
      <formula>IF($B36="Quoting",TRUE,FALSE)</formula>
    </cfRule>
    <cfRule type="expression" dxfId="7722" priority="14704">
      <formula>IF($B36="Quoting",TRUE,FALSE)</formula>
    </cfRule>
    <cfRule type="expression" dxfId="7721" priority="14705">
      <formula>IF($B36="Quoting",TRUE,FALSE)</formula>
    </cfRule>
    <cfRule type="expression" dxfId="7720" priority="14706">
      <formula>IF($B36="Quoting",TRUE,FALSE)</formula>
    </cfRule>
    <cfRule type="expression" dxfId="7719" priority="14707">
      <formula>IF($B36="Quoting",TRUE,FALSE)</formula>
    </cfRule>
    <cfRule type="expression" dxfId="7718" priority="14708">
      <formula>IF($B36="Quoting",TRUE,FALSE)</formula>
    </cfRule>
    <cfRule type="expression" dxfId="7717" priority="14709">
      <formula>IF($B36="Quoting",TRUE,FALSE)</formula>
    </cfRule>
    <cfRule type="expression" dxfId="7716" priority="14710">
      <formula>IF($B36="Quoting",TRUE,FALSE)</formula>
    </cfRule>
    <cfRule type="expression" dxfId="7715" priority="14711">
      <formula>IF($B36="Quoting",TRUE,FALSE)</formula>
    </cfRule>
    <cfRule type="expression" dxfId="7714" priority="14712">
      <formula>IF($B36="Quoting",TRUE,FALSE)</formula>
    </cfRule>
    <cfRule type="expression" dxfId="7713" priority="14713">
      <formula>IF($B36="Quoting",TRUE,FALSE)</formula>
    </cfRule>
    <cfRule type="expression" dxfId="7712" priority="14714">
      <formula>IF($B36="Quoting",TRUE,FALSE)</formula>
    </cfRule>
    <cfRule type="expression" dxfId="7711" priority="14715">
      <formula>IF($B36="Quoting",TRUE,FALSE)</formula>
    </cfRule>
    <cfRule type="expression" dxfId="7710" priority="14716">
      <formula>IF($B36="Quoting",TRUE,FALSE)</formula>
    </cfRule>
    <cfRule type="expression" dxfId="7709" priority="14717">
      <formula>IF($B36="Quoting",TRUE,FALSE)</formula>
    </cfRule>
    <cfRule type="expression" dxfId="7708" priority="14718">
      <formula>IF($B36="Quoting",TRUE,FALSE)</formula>
    </cfRule>
    <cfRule type="expression" dxfId="7707" priority="14719">
      <formula>IF($B36="Quoting",TRUE,FALSE)</formula>
    </cfRule>
    <cfRule type="expression" dxfId="7706" priority="14720">
      <formula>IF($B36="Quoting",TRUE,FALSE)</formula>
    </cfRule>
    <cfRule type="expression" dxfId="7705" priority="14721">
      <formula>IF($B36="Quoting",TRUE,FALSE)</formula>
    </cfRule>
    <cfRule type="expression" dxfId="7704" priority="14722">
      <formula>IF($B36="Quoting",TRUE,FALSE)</formula>
    </cfRule>
    <cfRule type="expression" dxfId="7703" priority="14723">
      <formula>IF($B36="Quoting",TRUE,FALSE)</formula>
    </cfRule>
    <cfRule type="expression" dxfId="7702" priority="14724">
      <formula>IF($B36="Quoting",TRUE,FALSE)</formula>
    </cfRule>
    <cfRule type="expression" dxfId="7701" priority="14725">
      <formula>IF($B36="Quoting",TRUE,FALSE)</formula>
    </cfRule>
    <cfRule type="expression" dxfId="7700" priority="14726">
      <formula>IF($B36="Quoting",TRUE,FALSE)</formula>
    </cfRule>
    <cfRule type="expression" dxfId="7699" priority="14727">
      <formula>IF($B36="Quoting",TRUE,FALSE)</formula>
    </cfRule>
    <cfRule type="expression" dxfId="7698" priority="14728">
      <formula>IF($B36="Quoting",TRUE,FALSE)</formula>
    </cfRule>
    <cfRule type="expression" dxfId="7697" priority="14729">
      <formula>IF($B36="Quoting",TRUE,FALSE)</formula>
    </cfRule>
    <cfRule type="expression" dxfId="7696" priority="14730">
      <formula>IF($B36="Quoting",TRUE,FALSE)</formula>
    </cfRule>
    <cfRule type="expression" dxfId="7695" priority="14731">
      <formula>IF($B36="Quoting",TRUE,FALSE)</formula>
    </cfRule>
    <cfRule type="expression" dxfId="7694" priority="14732">
      <formula>IF($B36="Quoting",TRUE,FALSE)</formula>
    </cfRule>
    <cfRule type="expression" dxfId="7693" priority="14733">
      <formula>IF($B36="Quoting",TRUE,FALSE)</formula>
    </cfRule>
    <cfRule type="expression" dxfId="7692" priority="14734">
      <formula>IF($B36="Quoting",TRUE,FALSE)</formula>
    </cfRule>
    <cfRule type="expression" dxfId="7691" priority="14735">
      <formula>IF($B36="Quoting",TRUE,FALSE)</formula>
    </cfRule>
    <cfRule type="expression" dxfId="7690" priority="14736">
      <formula>IF($B36="Quoting",TRUE,FALSE)</formula>
    </cfRule>
    <cfRule type="expression" dxfId="7689" priority="14737">
      <formula>IF($B36="Quoting",TRUE,FALSE)</formula>
    </cfRule>
    <cfRule type="expression" dxfId="7688" priority="14738">
      <formula>IF($B36="Quoting",TRUE,FALSE)</formula>
    </cfRule>
    <cfRule type="expression" dxfId="7687" priority="14739">
      <formula>IF($B36="Quoting",TRUE,FALSE)</formula>
    </cfRule>
    <cfRule type="expression" dxfId="7686" priority="14740">
      <formula>IF($B36="Quoting",TRUE,FALSE)</formula>
    </cfRule>
    <cfRule type="expression" dxfId="7685" priority="14741">
      <formula>IF($B36="Quoting",TRUE,FALSE)</formula>
    </cfRule>
    <cfRule type="expression" dxfId="7684" priority="14742">
      <formula>IF($B36="Quoting",TRUE,FALSE)</formula>
    </cfRule>
    <cfRule type="expression" dxfId="7683" priority="14743">
      <formula>IF($B36="Quoting",TRUE,FALSE)</formula>
    </cfRule>
    <cfRule type="expression" dxfId="7682" priority="14744">
      <formula>IF($B36="Quoting",TRUE,FALSE)</formula>
    </cfRule>
    <cfRule type="expression" dxfId="7681" priority="14745">
      <formula>IF($B36="Quoting",TRUE,FALSE)</formula>
    </cfRule>
    <cfRule type="expression" dxfId="7680" priority="14746">
      <formula>IF($B36="Quoting",TRUE,FALSE)</formula>
    </cfRule>
    <cfRule type="expression" dxfId="7679" priority="14747">
      <formula>IF($B36="Quoting",TRUE,FALSE)</formula>
    </cfRule>
    <cfRule type="expression" dxfId="7678" priority="14748">
      <formula>IF($B36="Quoting",TRUE,FALSE)</formula>
    </cfRule>
    <cfRule type="expression" dxfId="7677" priority="14749">
      <formula>IF($B36="Quoting",TRUE,FALSE)</formula>
    </cfRule>
    <cfRule type="expression" dxfId="7676" priority="14750">
      <formula>IF($B36="Quoting",TRUE,FALSE)</formula>
    </cfRule>
    <cfRule type="expression" dxfId="7675" priority="14751">
      <formula>IF($B36="Quoting",TRUE,FALSE)</formula>
    </cfRule>
    <cfRule type="expression" dxfId="7674" priority="14752">
      <formula>IF($B36="Quoting",TRUE,FALSE)</formula>
    </cfRule>
    <cfRule type="expression" dxfId="7673" priority="14753">
      <formula>IF($B36="Quoting",TRUE,FALSE)</formula>
    </cfRule>
    <cfRule type="expression" dxfId="7672" priority="14754">
      <formula>IF($B36="Quoting",TRUE,FALSE)</formula>
    </cfRule>
    <cfRule type="expression" dxfId="7671" priority="14755">
      <formula>IF($B36="Quoting",TRUE,FALSE)</formula>
    </cfRule>
    <cfRule type="expression" dxfId="7670" priority="14756">
      <formula>IF($B36="Quoting",TRUE,FALSE)</formula>
    </cfRule>
    <cfRule type="expression" dxfId="7669" priority="14757">
      <formula>IF($B36="Quoting",TRUE,FALSE)</formula>
    </cfRule>
    <cfRule type="expression" dxfId="7668" priority="14758">
      <formula>IF($B36="Quoting",TRUE,FALSE)</formula>
    </cfRule>
    <cfRule type="expression" dxfId="7667" priority="14759">
      <formula>IF($B36="Quoting",TRUE,FALSE)</formula>
    </cfRule>
    <cfRule type="expression" dxfId="7666" priority="14760">
      <formula>IF($B36="Quoting",TRUE,FALSE)</formula>
    </cfRule>
    <cfRule type="expression" dxfId="7665" priority="14761">
      <formula>IF($B36="Quoting",TRUE,FALSE)</formula>
    </cfRule>
    <cfRule type="expression" dxfId="7664" priority="14762">
      <formula>IF($B36="Quoting",TRUE,FALSE)</formula>
    </cfRule>
    <cfRule type="expression" dxfId="7663" priority="14763">
      <formula>IF($B36="Quoting",TRUE,FALSE)</formula>
    </cfRule>
    <cfRule type="expression" dxfId="7662" priority="14764">
      <formula>IF($B36="Quoting",TRUE,FALSE)</formula>
    </cfRule>
    <cfRule type="expression" dxfId="7661" priority="14765">
      <formula>IF($B36="Quoting",TRUE,FALSE)</formula>
    </cfRule>
    <cfRule type="expression" dxfId="7660" priority="14766">
      <formula>IF($B36="Quoting",TRUE,FALSE)</formula>
    </cfRule>
    <cfRule type="expression" dxfId="7659" priority="14767">
      <formula>IF($B36="Quoting",TRUE,FALSE)</formula>
    </cfRule>
    <cfRule type="expression" dxfId="7658" priority="14768">
      <formula>IF($B36="Quoting",TRUE,FALSE)</formula>
    </cfRule>
    <cfRule type="expression" dxfId="7657" priority="14769">
      <formula>IF($B36="Quoting",TRUE,FALSE)</formula>
    </cfRule>
    <cfRule type="expression" dxfId="7656" priority="14770">
      <formula>IF($B36="Quoting",TRUE,FALSE)</formula>
    </cfRule>
    <cfRule type="expression" dxfId="7655" priority="14771">
      <formula>IF($B36="Quoting",TRUE,FALSE)</formula>
    </cfRule>
    <cfRule type="expression" dxfId="7654" priority="14772">
      <formula>IF($B36="Quoting",TRUE,FALSE)</formula>
    </cfRule>
    <cfRule type="expression" dxfId="7653" priority="14773">
      <formula>IF($B36="Quoting",TRUE,FALSE)</formula>
    </cfRule>
    <cfRule type="expression" dxfId="7652" priority="14774">
      <formula>IF($B36="Quoting",TRUE,FALSE)</formula>
    </cfRule>
    <cfRule type="expression" dxfId="7651" priority="14775">
      <formula>IF($B36="Quoting",TRUE,FALSE)</formula>
    </cfRule>
    <cfRule type="expression" dxfId="7650" priority="14776">
      <formula>IF($B36="Quoting",TRUE,FALSE)</formula>
    </cfRule>
    <cfRule type="expression" dxfId="7649" priority="14777">
      <formula>IF($B36="Quoting",TRUE,FALSE)</formula>
    </cfRule>
    <cfRule type="expression" dxfId="7648" priority="14778">
      <formula>IF($B36="Quoting",TRUE,FALSE)</formula>
    </cfRule>
    <cfRule type="expression" dxfId="7647" priority="14779">
      <formula>IF($B36="Quoting",TRUE,FALSE)</formula>
    </cfRule>
    <cfRule type="expression" dxfId="7646" priority="14780">
      <formula>IF($B36="Quoting",TRUE,FALSE)</formula>
    </cfRule>
    <cfRule type="expression" dxfId="7645" priority="14781">
      <formula>IF($B36="Quoting",TRUE,FALSE)</formula>
    </cfRule>
    <cfRule type="expression" dxfId="7644" priority="14782">
      <formula>IF($B36="Quoting",TRUE,FALSE)</formula>
    </cfRule>
    <cfRule type="expression" dxfId="7643" priority="14783">
      <formula>IF($B36="Quoting",TRUE,FALSE)</formula>
    </cfRule>
    <cfRule type="expression" dxfId="7642" priority="14784">
      <formula>IF($B36="Quoting",TRUE,FALSE)</formula>
    </cfRule>
    <cfRule type="expression" dxfId="7641" priority="14785">
      <formula>IF($B36="Quoting",TRUE,FALSE)</formula>
    </cfRule>
    <cfRule type="expression" dxfId="7640" priority="14786">
      <formula>IF($B36="Quoting",TRUE,FALSE)</formula>
    </cfRule>
    <cfRule type="expression" dxfId="7639" priority="14787">
      <formula>IF($B36="Quoting",TRUE,FALSE)</formula>
    </cfRule>
    <cfRule type="expression" dxfId="7638" priority="14788">
      <formula>IF($B36="Quoting",TRUE,FALSE)</formula>
    </cfRule>
    <cfRule type="expression" dxfId="7637" priority="14789">
      <formula>IF($B36="Quoting",TRUE,FALSE)</formula>
    </cfRule>
    <cfRule type="expression" dxfId="7636" priority="14790">
      <formula>IF($B36="Quoting",TRUE,FALSE)</formula>
    </cfRule>
    <cfRule type="expression" dxfId="7635" priority="14791">
      <formula>IF($B36="Quoting",TRUE,FALSE)</formula>
    </cfRule>
    <cfRule type="expression" dxfId="7634" priority="14792">
      <formula>IF($B36="Quoting",TRUE,FALSE)</formula>
    </cfRule>
    <cfRule type="expression" dxfId="7633" priority="14793">
      <formula>IF($B36="Quoting",TRUE,FALSE)</formula>
    </cfRule>
    <cfRule type="expression" dxfId="7632" priority="14794">
      <formula>IF($B36="Quoting",TRUE,FALSE)</formula>
    </cfRule>
    <cfRule type="expression" dxfId="7631" priority="14795">
      <formula>IF($B36="Quoting",TRUE,FALSE)</formula>
    </cfRule>
    <cfRule type="expression" dxfId="7630" priority="14796">
      <formula>IF($B36="Quoting",TRUE,FALSE)</formula>
    </cfRule>
    <cfRule type="expression" dxfId="7629" priority="14797">
      <formula>IF($B36="Quoting",TRUE,FALSE)</formula>
    </cfRule>
    <cfRule type="expression" dxfId="7628" priority="14798">
      <formula>IF($B36="Quoting",TRUE,FALSE)</formula>
    </cfRule>
    <cfRule type="expression" dxfId="7627" priority="14799">
      <formula>IF($B36="Quoting",TRUE,FALSE)</formula>
    </cfRule>
    <cfRule type="expression" dxfId="7626" priority="14800">
      <formula>IF($B36="Quoting",TRUE,FALSE)</formula>
    </cfRule>
    <cfRule type="expression" dxfId="7625" priority="14801">
      <formula>IF($B36="Quoting",TRUE,FALSE)</formula>
    </cfRule>
    <cfRule type="expression" dxfId="7624" priority="14802">
      <formula>IF($B36="Quoting",TRUE,FALSE)</formula>
    </cfRule>
    <cfRule type="expression" dxfId="7623" priority="14803">
      <formula>IF($B36="Quoting",TRUE,FALSE)</formula>
    </cfRule>
    <cfRule type="expression" dxfId="7622" priority="14804">
      <formula>IF($B36="Quoting",TRUE,FALSE)</formula>
    </cfRule>
    <cfRule type="expression" dxfId="7621" priority="14805">
      <formula>IF($B36="Quoting",TRUE,FALSE)</formula>
    </cfRule>
    <cfRule type="expression" dxfId="7620" priority="14806">
      <formula>IF($B36="Quoting",TRUE,FALSE)</formula>
    </cfRule>
    <cfRule type="expression" dxfId="7619" priority="14807">
      <formula>IF($B36="Quoting",TRUE,FALSE)</formula>
    </cfRule>
    <cfRule type="expression" dxfId="7618" priority="14808">
      <formula>IF($B36="Quoting",TRUE,FALSE)</formula>
    </cfRule>
    <cfRule type="expression" dxfId="7617" priority="14809">
      <formula>IF($B36="Quoting",TRUE,FALSE)</formula>
    </cfRule>
    <cfRule type="expression" dxfId="7616" priority="14810">
      <formula>IF($B36="Quoting",TRUE,FALSE)</formula>
    </cfRule>
    <cfRule type="expression" dxfId="7615" priority="14811">
      <formula>IF($B36="Quoting",TRUE,FALSE)</formula>
    </cfRule>
    <cfRule type="expression" dxfId="7614" priority="14812">
      <formula>IF($B36="Quoting",TRUE,FALSE)</formula>
    </cfRule>
    <cfRule type="expression" dxfId="7613" priority="14813">
      <formula>IF($B36="Quoting",TRUE,FALSE)</formula>
    </cfRule>
    <cfRule type="expression" dxfId="7612" priority="14814">
      <formula>IF($B36="Quoting",TRUE,FALSE)</formula>
    </cfRule>
    <cfRule type="expression" dxfId="7611" priority="14815">
      <formula>IF($B36="Quoting",TRUE,FALSE)</formula>
    </cfRule>
    <cfRule type="expression" dxfId="7610" priority="14816">
      <formula>IF($B36="Quoting",TRUE,FALSE)</formula>
    </cfRule>
    <cfRule type="expression" dxfId="7609" priority="14817">
      <formula>IF($B36="Quoting",TRUE,FALSE)</formula>
    </cfRule>
    <cfRule type="expression" dxfId="7608" priority="14818">
      <formula>IF($B36="Quoting",TRUE,FALSE)</formula>
    </cfRule>
    <cfRule type="expression" dxfId="7607" priority="14819">
      <formula>IF($B36="Quoting",TRUE,FALSE)</formula>
    </cfRule>
    <cfRule type="expression" dxfId="7606" priority="14820">
      <formula>IF($B36="Quoting",TRUE,FALSE)</formula>
    </cfRule>
    <cfRule type="expression" dxfId="7605" priority="14821">
      <formula>IF($B36="Quoting",TRUE,FALSE)</formula>
    </cfRule>
    <cfRule type="expression" dxfId="7604" priority="14822">
      <formula>IF($B36="Quoting",TRUE,FALSE)</formula>
    </cfRule>
    <cfRule type="expression" dxfId="7603" priority="14823">
      <formula>IF($B36="Quoting",TRUE,FALSE)</formula>
    </cfRule>
    <cfRule type="expression" dxfId="7602" priority="14824">
      <formula>IF($B36="Quoting",TRUE,FALSE)</formula>
    </cfRule>
    <cfRule type="expression" dxfId="7601" priority="14825">
      <formula>IF($B36="Quoting",TRUE,FALSE)</formula>
    </cfRule>
    <cfRule type="expression" dxfId="7600" priority="14826">
      <formula>IF($B36="Quoting",TRUE,FALSE)</formula>
    </cfRule>
    <cfRule type="expression" dxfId="7599" priority="14827">
      <formula>IF($B36="Quoting",TRUE,FALSE)</formula>
    </cfRule>
    <cfRule type="expression" dxfId="7598" priority="14828">
      <formula>IF($B36="Quoting",TRUE,FALSE)</formula>
    </cfRule>
    <cfRule type="expression" dxfId="7597" priority="14829">
      <formula>IF($B36="Quoting",TRUE,FALSE)</formula>
    </cfRule>
    <cfRule type="expression" dxfId="7596" priority="14830">
      <formula>IF($B36="Quoting",TRUE,FALSE)</formula>
    </cfRule>
    <cfRule type="expression" dxfId="7595" priority="14831">
      <formula>IF($B36="Quoting",TRUE,FALSE)</formula>
    </cfRule>
    <cfRule type="expression" dxfId="7594" priority="14832">
      <formula>IF($B36="Quoting",TRUE,FALSE)</formula>
    </cfRule>
    <cfRule type="expression" dxfId="7593" priority="14833">
      <formula>IF($B36="Quoting",TRUE,FALSE)</formula>
    </cfRule>
    <cfRule type="expression" dxfId="7592" priority="14834">
      <formula>IF($B36="Quoting",TRUE,FALSE)</formula>
    </cfRule>
    <cfRule type="expression" dxfId="7591" priority="14835">
      <formula>IF($B36="Quoting",TRUE,FALSE)</formula>
    </cfRule>
    <cfRule type="expression" dxfId="7590" priority="14836">
      <formula>IF($B36="Quoting",TRUE,FALSE)</formula>
    </cfRule>
    <cfRule type="expression" dxfId="7589" priority="14837">
      <formula>IF($B36="Quoting",TRUE,FALSE)</formula>
    </cfRule>
    <cfRule type="expression" dxfId="7588" priority="14838">
      <formula>IF($B36="Quoting",TRUE,FALSE)</formula>
    </cfRule>
    <cfRule type="expression" dxfId="7587" priority="14839">
      <formula>IF($B36="Quoting",TRUE,FALSE)</formula>
    </cfRule>
    <cfRule type="expression" dxfId="7586" priority="14840">
      <formula>IF($B36="Quoting",TRUE,FALSE)</formula>
    </cfRule>
    <cfRule type="expression" dxfId="7585" priority="14841">
      <formula>IF($B36="Quoting",TRUE,FALSE)</formula>
    </cfRule>
    <cfRule type="expression" dxfId="7584" priority="14842">
      <formula>IF($B36="Quoting",TRUE,FALSE)</formula>
    </cfRule>
    <cfRule type="expression" dxfId="7583" priority="14843">
      <formula>IF($B36="Quoting",TRUE,FALSE)</formula>
    </cfRule>
    <cfRule type="expression" dxfId="7582" priority="14844">
      <formula>IF($B36="Quoting",TRUE,FALSE)</formula>
    </cfRule>
    <cfRule type="expression" dxfId="7581" priority="14845">
      <formula>IF($B36="Quoting",TRUE,FALSE)</formula>
    </cfRule>
    <cfRule type="expression" dxfId="7580" priority="14846">
      <formula>IF($B36="Quoting",TRUE,FALSE)</formula>
    </cfRule>
    <cfRule type="expression" dxfId="7579" priority="14847">
      <formula>IF($B36="Quoting",TRUE,FALSE)</formula>
    </cfRule>
    <cfRule type="expression" dxfId="7578" priority="14848">
      <formula>IF($B36="Quoting",TRUE,FALSE)</formula>
    </cfRule>
    <cfRule type="expression" dxfId="7577" priority="14849">
      <formula>IF($B36="Quoting",TRUE,FALSE)</formula>
    </cfRule>
    <cfRule type="expression" dxfId="7576" priority="14850">
      <formula>IF($B36="Quoting",TRUE,FALSE)</formula>
    </cfRule>
    <cfRule type="expression" dxfId="7575" priority="14851">
      <formula>IF($B36="Quoting",TRUE,FALSE)</formula>
    </cfRule>
    <cfRule type="expression" dxfId="7574" priority="14852">
      <formula>IF($B36="Quoting",TRUE,FALSE)</formula>
    </cfRule>
    <cfRule type="expression" dxfId="7573" priority="14853">
      <formula>IF($B36="Quoting",TRUE,FALSE)</formula>
    </cfRule>
    <cfRule type="expression" dxfId="7572" priority="14854">
      <formula>IF($B36="Quoting",TRUE,FALSE)</formula>
    </cfRule>
    <cfRule type="expression" dxfId="7571" priority="14855">
      <formula>IF($B36="Quoting",TRUE,FALSE)</formula>
    </cfRule>
    <cfRule type="expression" dxfId="7570" priority="14856">
      <formula>IF($B36="Quoting",TRUE,FALSE)</formula>
    </cfRule>
    <cfRule type="expression" dxfId="7569" priority="14857">
      <formula>IF($B36="Quoting",TRUE,FALSE)</formula>
    </cfRule>
    <cfRule type="expression" dxfId="7568" priority="14858">
      <formula>IF($B36="Quoting",TRUE,FALSE)</formula>
    </cfRule>
    <cfRule type="expression" dxfId="7567" priority="14859">
      <formula>IF($B36="Quoting",TRUE,FALSE)</formula>
    </cfRule>
    <cfRule type="expression" dxfId="7566" priority="14860">
      <formula>IF($B36="Quoting",TRUE,FALSE)</formula>
    </cfRule>
    <cfRule type="expression" dxfId="7565" priority="14861">
      <formula>IF($B36="Quoting",TRUE,FALSE)</formula>
    </cfRule>
    <cfRule type="expression" dxfId="7564" priority="14862">
      <formula>IF($B36="Quoting",TRUE,FALSE)</formula>
    </cfRule>
    <cfRule type="expression" dxfId="7563" priority="14863">
      <formula>IF($B36="Quoting",TRUE,FALSE)</formula>
    </cfRule>
    <cfRule type="expression" dxfId="7562" priority="14864">
      <formula>IF($B36="Quoting",TRUE,FALSE)</formula>
    </cfRule>
    <cfRule type="expression" dxfId="7561" priority="14865">
      <formula>IF($B36="Quoting",TRUE,FALSE)</formula>
    </cfRule>
    <cfRule type="expression" dxfId="7560" priority="14866">
      <formula>IF($B36="Quoting",TRUE,FALSE)</formula>
    </cfRule>
    <cfRule type="expression" dxfId="7559" priority="14867">
      <formula>IF($B36="Quoting",TRUE,FALSE)</formula>
    </cfRule>
    <cfRule type="expression" dxfId="7558" priority="14868">
      <formula>IF($B36="Quoting",TRUE,FALSE)</formula>
    </cfRule>
    <cfRule type="expression" dxfId="7557" priority="14869">
      <formula>IF($B36="Quoting",TRUE,FALSE)</formula>
    </cfRule>
    <cfRule type="expression" dxfId="7556" priority="14870">
      <formula>IF($B36="Quoting",TRUE,FALSE)</formula>
    </cfRule>
    <cfRule type="expression" dxfId="7555" priority="14871">
      <formula>IF($B36="Quoting",TRUE,FALSE)</formula>
    </cfRule>
    <cfRule type="expression" dxfId="7554" priority="14872">
      <formula>IF($B36="Quoting",TRUE,FALSE)</formula>
    </cfRule>
    <cfRule type="expression" dxfId="7553" priority="14873">
      <formula>IF($B36="Quoting",TRUE,FALSE)</formula>
    </cfRule>
    <cfRule type="expression" dxfId="7552" priority="14874">
      <formula>IF($B36="Quoting",TRUE,FALSE)</formula>
    </cfRule>
    <cfRule type="expression" dxfId="7551" priority="14875">
      <formula>IF($B36="Quoting",TRUE,FALSE)</formula>
    </cfRule>
    <cfRule type="expression" dxfId="7550" priority="14876">
      <formula>IF($B36="Quoting",TRUE,FALSE)</formula>
    </cfRule>
    <cfRule type="expression" dxfId="7549" priority="14877">
      <formula>IF($B36="Quoting",TRUE,FALSE)</formula>
    </cfRule>
    <cfRule type="expression" dxfId="7548" priority="14878">
      <formula>IF($B36="Quoting",TRUE,FALSE)</formula>
    </cfRule>
    <cfRule type="expression" dxfId="7547" priority="14879">
      <formula>IF($B36="Quoting",TRUE,FALSE)</formula>
    </cfRule>
    <cfRule type="expression" dxfId="7546" priority="14880">
      <formula>IF($B36="Quoting",TRUE,FALSE)</formula>
    </cfRule>
    <cfRule type="expression" dxfId="7545" priority="14881">
      <formula>IF($B36="Quoting",TRUE,FALSE)</formula>
    </cfRule>
    <cfRule type="expression" dxfId="7544" priority="14882">
      <formula>IF($B36="Quoting",TRUE,FALSE)</formula>
    </cfRule>
    <cfRule type="expression" dxfId="7543" priority="14883">
      <formula>IF($B36="Quoting",TRUE,FALSE)</formula>
    </cfRule>
    <cfRule type="expression" dxfId="7542" priority="14884">
      <formula>IF($B36="Quoting",TRUE,FALSE)</formula>
    </cfRule>
    <cfRule type="expression" dxfId="7541" priority="14885">
      <formula>IF($B36="Quoting",TRUE,FALSE)</formula>
    </cfRule>
    <cfRule type="expression" dxfId="7540" priority="14886">
      <formula>IF($B36="Quoting",TRUE,FALSE)</formula>
    </cfRule>
    <cfRule type="expression" dxfId="7539" priority="14887">
      <formula>IF($B36="Quoting",TRUE,FALSE)</formula>
    </cfRule>
    <cfRule type="expression" dxfId="7538" priority="14888">
      <formula>IF($B36="Quoting",TRUE,FALSE)</formula>
    </cfRule>
    <cfRule type="expression" dxfId="7537" priority="14889">
      <formula>IF($B36="Quoting",TRUE,FALSE)</formula>
    </cfRule>
    <cfRule type="expression" dxfId="7536" priority="14890">
      <formula>IF($B36="Quoting",TRUE,FALSE)</formula>
    </cfRule>
    <cfRule type="expression" dxfId="7535" priority="14891">
      <formula>IF($B36="Quoting",TRUE,FALSE)</formula>
    </cfRule>
    <cfRule type="expression" dxfId="7534" priority="14892">
      <formula>IF($B36="Quoting",TRUE,FALSE)</formula>
    </cfRule>
    <cfRule type="expression" dxfId="7533" priority="14893">
      <formula>IF($B36="Quoting",TRUE,FALSE)</formula>
    </cfRule>
    <cfRule type="expression" dxfId="7532" priority="14894">
      <formula>IF($B36="Quoting",TRUE,FALSE)</formula>
    </cfRule>
    <cfRule type="expression" dxfId="7531" priority="14895">
      <formula>IF($B36="Quoting",TRUE,FALSE)</formula>
    </cfRule>
    <cfRule type="expression" dxfId="7530" priority="14896">
      <formula>IF($B36="Quoting",TRUE,FALSE)</formula>
    </cfRule>
    <cfRule type="expression" dxfId="7529" priority="14897">
      <formula>IF($B36="Quoting",TRUE,FALSE)</formula>
    </cfRule>
    <cfRule type="expression" dxfId="7528" priority="14898">
      <formula>IF($B36="Quoting",TRUE,FALSE)</formula>
    </cfRule>
    <cfRule type="expression" dxfId="7527" priority="14899">
      <formula>IF($B36="Quoting",TRUE,FALSE)</formula>
    </cfRule>
    <cfRule type="expression" dxfId="7526" priority="14900">
      <formula>IF($B36="Quoting",TRUE,FALSE)</formula>
    </cfRule>
    <cfRule type="expression" dxfId="7525" priority="14901">
      <formula>IF($B36="Quoting",TRUE,FALSE)</formula>
    </cfRule>
    <cfRule type="expression" dxfId="7524" priority="14902">
      <formula>IF($B36="Quoting",TRUE,FALSE)</formula>
    </cfRule>
    <cfRule type="expression" dxfId="7523" priority="14903">
      <formula>IF($B36="Quoting",TRUE,FALSE)</formula>
    </cfRule>
    <cfRule type="expression" dxfId="7522" priority="14904">
      <formula>IF($B36="Quoting",TRUE,FALSE)</formula>
    </cfRule>
    <cfRule type="expression" dxfId="7521" priority="14905">
      <formula>IF($B36="Quoting",TRUE,FALSE)</formula>
    </cfRule>
    <cfRule type="expression" dxfId="7520" priority="14906">
      <formula>IF($B36="Quoting",TRUE,FALSE)</formula>
    </cfRule>
    <cfRule type="expression" dxfId="7519" priority="14907">
      <formula>IF($B36="Quoting",TRUE,FALSE)</formula>
    </cfRule>
    <cfRule type="expression" dxfId="7518" priority="14908">
      <formula>IF($B36="Quoting",TRUE,FALSE)</formula>
    </cfRule>
    <cfRule type="expression" dxfId="7517" priority="14909">
      <formula>IF($B36="Quoting",TRUE,FALSE)</formula>
    </cfRule>
    <cfRule type="expression" dxfId="7516" priority="14910">
      <formula>IF($B36="Quoting",TRUE,FALSE)</formula>
    </cfRule>
    <cfRule type="expression" dxfId="7515" priority="14911">
      <formula>IF($B36="Quoting",TRUE,FALSE)</formula>
    </cfRule>
    <cfRule type="expression" dxfId="7514" priority="14912">
      <formula>IF($B36="Quoting",TRUE,FALSE)</formula>
    </cfRule>
    <cfRule type="expression" dxfId="7513" priority="14913">
      <formula>IF($B36="Quoting",TRUE,FALSE)</formula>
    </cfRule>
    <cfRule type="expression" dxfId="7512" priority="14914">
      <formula>IF($B36="Quoting",TRUE,FALSE)</formula>
    </cfRule>
    <cfRule type="expression" dxfId="7511" priority="14915">
      <formula>IF($B36="Quoting",TRUE,FALSE)</formula>
    </cfRule>
    <cfRule type="expression" dxfId="7510" priority="14916">
      <formula>IF($B36="Quoting",TRUE,FALSE)</formula>
    </cfRule>
    <cfRule type="expression" dxfId="7509" priority="14917">
      <formula>IF($B36="Quoting",TRUE,FALSE)</formula>
    </cfRule>
    <cfRule type="expression" dxfId="7508" priority="14918">
      <formula>IF($B36="Quoting",TRUE,FALSE)</formula>
    </cfRule>
    <cfRule type="expression" dxfId="7507" priority="14919">
      <formula>IF($B36="Quoting",TRUE,FALSE)</formula>
    </cfRule>
    <cfRule type="expression" dxfId="7506" priority="14920">
      <formula>IF($B36="Quoting",TRUE,FALSE)</formula>
    </cfRule>
    <cfRule type="expression" dxfId="7505" priority="14921">
      <formula>IF($B36="Quoting",TRUE,FALSE)</formula>
    </cfRule>
    <cfRule type="expression" dxfId="7504" priority="14922">
      <formula>IF($B36="Quoting",TRUE,FALSE)</formula>
    </cfRule>
    <cfRule type="expression" dxfId="7503" priority="14923">
      <formula>IF($B36="Quoting",TRUE,FALSE)</formula>
    </cfRule>
    <cfRule type="expression" dxfId="7502" priority="14924">
      <formula>IF($B36="Quoting",TRUE,FALSE)</formula>
    </cfRule>
    <cfRule type="expression" dxfId="7501" priority="14925">
      <formula>IF($B36="Quoting",TRUE,FALSE)</formula>
    </cfRule>
    <cfRule type="expression" dxfId="7500" priority="14926">
      <formula>IF($B36="Quoting",TRUE,FALSE)</formula>
    </cfRule>
    <cfRule type="expression" dxfId="7499" priority="14927">
      <formula>IF($B36="Quoting",TRUE,FALSE)</formula>
    </cfRule>
    <cfRule type="expression" dxfId="7498" priority="14928">
      <formula>IF($B36="Quoting",TRUE,FALSE)</formula>
    </cfRule>
    <cfRule type="expression" dxfId="7497" priority="14929">
      <formula>IF($B36="Quoting",TRUE,FALSE)</formula>
    </cfRule>
    <cfRule type="expression" dxfId="7496" priority="14930">
      <formula>IF($B36="Quoting",TRUE,FALSE)</formula>
    </cfRule>
    <cfRule type="expression" dxfId="7495" priority="14931">
      <formula>IF($B36="Quoting",TRUE,FALSE)</formula>
    </cfRule>
    <cfRule type="expression" dxfId="7494" priority="14932">
      <formula>IF($B36="Quoting",TRUE,FALSE)</formula>
    </cfRule>
    <cfRule type="expression" dxfId="7493" priority="14933">
      <formula>IF($B36="Quoting",TRUE,FALSE)</formula>
    </cfRule>
    <cfRule type="expression" dxfId="7492" priority="14934">
      <formula>IF($B36="Quoting",TRUE,FALSE)</formula>
    </cfRule>
    <cfRule type="expression" dxfId="7491" priority="14935">
      <formula>IF($B36="Quoting",TRUE,FALSE)</formula>
    </cfRule>
    <cfRule type="expression" dxfId="7490" priority="14936">
      <formula>IF($B36="Quoting",TRUE,FALSE)</formula>
    </cfRule>
    <cfRule type="expression" dxfId="7489" priority="14937">
      <formula>IF($B36="Quoting",TRUE,FALSE)</formula>
    </cfRule>
    <cfRule type="expression" dxfId="7488" priority="14938">
      <formula>IF($B36="Quoting",TRUE,FALSE)</formula>
    </cfRule>
    <cfRule type="expression" dxfId="7487" priority="14939">
      <formula>IF($B36="Quoting",TRUE,FALSE)</formula>
    </cfRule>
    <cfRule type="expression" dxfId="7486" priority="14940">
      <formula>IF($B36="Quoting",TRUE,FALSE)</formula>
    </cfRule>
    <cfRule type="expression" dxfId="7485" priority="14941">
      <formula>IF($B36="Quoting",TRUE,FALSE)</formula>
    </cfRule>
    <cfRule type="expression" dxfId="7484" priority="14942">
      <formula>IF($B36="Quoting",TRUE,FALSE)</formula>
    </cfRule>
    <cfRule type="expression" dxfId="7483" priority="14943">
      <formula>IF($B36="Quoting",TRUE,FALSE)</formula>
    </cfRule>
    <cfRule type="expression" dxfId="7482" priority="14944">
      <formula>IF($B36="Quoting",TRUE,FALSE)</formula>
    </cfRule>
    <cfRule type="expression" dxfId="7481" priority="14945">
      <formula>IF($B36="Quoting",TRUE,FALSE)</formula>
    </cfRule>
    <cfRule type="expression" dxfId="7480" priority="14946">
      <formula>IF($B36="Quoting",TRUE,FALSE)</formula>
    </cfRule>
    <cfRule type="expression" dxfId="7479" priority="14947">
      <formula>IF($B36="Quoting",TRUE,FALSE)</formula>
    </cfRule>
    <cfRule type="expression" dxfId="7478" priority="14948">
      <formula>IF($B36="Quoting",TRUE,FALSE)</formula>
    </cfRule>
    <cfRule type="expression" dxfId="7477" priority="14949">
      <formula>IF($B36="Quoting",TRUE,FALSE)</formula>
    </cfRule>
    <cfRule type="expression" dxfId="7476" priority="14950">
      <formula>IF($B36="Quoting",TRUE,FALSE)</formula>
    </cfRule>
    <cfRule type="expression" dxfId="7475" priority="14951">
      <formula>IF($B36="Quoting",TRUE,FALSE)</formula>
    </cfRule>
    <cfRule type="expression" dxfId="7474" priority="14952">
      <formula>IF($B36="Quoting",TRUE,FALSE)</formula>
    </cfRule>
    <cfRule type="expression" dxfId="7473" priority="14953">
      <formula>IF($B36="Quoting",TRUE,FALSE)</formula>
    </cfRule>
    <cfRule type="expression" dxfId="7472" priority="14954">
      <formula>IF($B36="Quoting",TRUE,FALSE)</formula>
    </cfRule>
    <cfRule type="expression" dxfId="7471" priority="14955">
      <formula>IF($B36="Quoting",TRUE,FALSE)</formula>
    </cfRule>
    <cfRule type="expression" dxfId="7470" priority="14956">
      <formula>IF($B36="Quoting",TRUE,FALSE)</formula>
    </cfRule>
    <cfRule type="expression" dxfId="7469" priority="14957">
      <formula>IF($B36="Quoting",TRUE,FALSE)</formula>
    </cfRule>
    <cfRule type="expression" dxfId="7468" priority="14958">
      <formula>IF($B36="Quoting",TRUE,FALSE)</formula>
    </cfRule>
    <cfRule type="expression" dxfId="7467" priority="14959">
      <formula>IF($B36="Quoting",TRUE,FALSE)</formula>
    </cfRule>
    <cfRule type="expression" dxfId="7466" priority="14960">
      <formula>IF($B36="Quoting",TRUE,FALSE)</formula>
    </cfRule>
    <cfRule type="expression" dxfId="7465" priority="14961">
      <formula>IF($B36="Quoting",TRUE,FALSE)</formula>
    </cfRule>
    <cfRule type="expression" dxfId="7464" priority="14962">
      <formula>IF($B36="Quoting",TRUE,FALSE)</formula>
    </cfRule>
    <cfRule type="expression" dxfId="7463" priority="14963">
      <formula>IF($B36="Quoting",TRUE,FALSE)</formula>
    </cfRule>
    <cfRule type="expression" dxfId="7462" priority="14964">
      <formula>IF($B36="Quoting",TRUE,FALSE)</formula>
    </cfRule>
    <cfRule type="expression" dxfId="7461" priority="14965">
      <formula>IF($B36="Quoting",TRUE,FALSE)</formula>
    </cfRule>
    <cfRule type="expression" dxfId="7460" priority="14966">
      <formula>IF($B36="Quoting",TRUE,FALSE)</formula>
    </cfRule>
    <cfRule type="expression" dxfId="7459" priority="14967">
      <formula>IF($B36="Quoting",TRUE,FALSE)</formula>
    </cfRule>
    <cfRule type="expression" dxfId="7458" priority="14968">
      <formula>IF($B36="Quoting",TRUE,FALSE)</formula>
    </cfRule>
    <cfRule type="expression" dxfId="7457" priority="14969">
      <formula>IF($B36="Quoting",TRUE,FALSE)</formula>
    </cfRule>
    <cfRule type="expression" dxfId="7456" priority="14970">
      <formula>IF($B36="Quoting",TRUE,FALSE)</formula>
    </cfRule>
    <cfRule type="expression" dxfId="7455" priority="14971">
      <formula>IF($B36="Quoting",TRUE,FALSE)</formula>
    </cfRule>
    <cfRule type="expression" dxfId="7454" priority="14972">
      <formula>IF($B36="Quoting",TRUE,FALSE)</formula>
    </cfRule>
    <cfRule type="expression" dxfId="7453" priority="14973">
      <formula>IF($B36="Quoting",TRUE,FALSE)</formula>
    </cfRule>
    <cfRule type="expression" dxfId="7452" priority="14974">
      <formula>IF($B36="Quoting",TRUE,FALSE)</formula>
    </cfRule>
    <cfRule type="expression" dxfId="7451" priority="14975">
      <formula>IF($B36="Quoting",TRUE,FALSE)</formula>
    </cfRule>
    <cfRule type="expression" dxfId="7450" priority="14976">
      <formula>IF($B36="Quoting",TRUE,FALSE)</formula>
    </cfRule>
    <cfRule type="expression" dxfId="7449" priority="14977">
      <formula>IF($B36="Quoting",TRUE,FALSE)</formula>
    </cfRule>
    <cfRule type="expression" dxfId="7448" priority="14978">
      <formula>IF($B36="Quoting",TRUE,FALSE)</formula>
    </cfRule>
    <cfRule type="expression" dxfId="7447" priority="14979">
      <formula>IF($B36="Quoting",TRUE,FALSE)</formula>
    </cfRule>
    <cfRule type="expression" dxfId="7446" priority="14980">
      <formula>IF($B36="Quoting",TRUE,FALSE)</formula>
    </cfRule>
    <cfRule type="expression" dxfId="7445" priority="14981">
      <formula>IF($B36="Quoting",TRUE,FALSE)</formula>
    </cfRule>
    <cfRule type="expression" dxfId="7444" priority="14982">
      <formula>IF($B36="Quoting",TRUE,FALSE)</formula>
    </cfRule>
    <cfRule type="expression" dxfId="7443" priority="14983">
      <formula>IF($B36="Quoting",TRUE,FALSE)</formula>
    </cfRule>
    <cfRule type="expression" dxfId="7442" priority="14984">
      <formula>IF($B36="Quoting",TRUE,FALSE)</formula>
    </cfRule>
    <cfRule type="expression" dxfId="7441" priority="14985">
      <formula>IF($B36="Quoting",TRUE,FALSE)</formula>
    </cfRule>
    <cfRule type="expression" dxfId="7440" priority="14986">
      <formula>IF($B36="Quoting",TRUE,FALSE)</formula>
    </cfRule>
    <cfRule type="expression" dxfId="7439" priority="14987">
      <formula>IF($B36="Quoting",TRUE,FALSE)</formula>
    </cfRule>
    <cfRule type="expression" dxfId="7438" priority="14988">
      <formula>IF($B36="Quoting",TRUE,FALSE)</formula>
    </cfRule>
    <cfRule type="expression" dxfId="7437" priority="14989">
      <formula>IF($B36="Quoting",TRUE,FALSE)</formula>
    </cfRule>
    <cfRule type="expression" dxfId="7436" priority="14990">
      <formula>IF($B36="Quoting",TRUE,FALSE)</formula>
    </cfRule>
    <cfRule type="expression" dxfId="7435" priority="14991">
      <formula>IF($B36="Quoting",TRUE,FALSE)</formula>
    </cfRule>
    <cfRule type="expression" dxfId="7434" priority="14992">
      <formula>IF($B36="Quoting",TRUE,FALSE)</formula>
    </cfRule>
    <cfRule type="expression" dxfId="7433" priority="14993">
      <formula>IF($B36="Quoting",TRUE,FALSE)</formula>
    </cfRule>
    <cfRule type="expression" dxfId="7432" priority="14994">
      <formula>IF($B36="Quoting",TRUE,FALSE)</formula>
    </cfRule>
    <cfRule type="expression" dxfId="7431" priority="14995">
      <formula>IF($B36="Quoting",TRUE,FALSE)</formula>
    </cfRule>
    <cfRule type="expression" dxfId="7430" priority="14996">
      <formula>IF($B36="Quoting",TRUE,FALSE)</formula>
    </cfRule>
    <cfRule type="expression" dxfId="7429" priority="14997">
      <formula>IF($B36="Quoting",TRUE,FALSE)</formula>
    </cfRule>
    <cfRule type="expression" dxfId="7428" priority="14998">
      <formula>IF($B36="Quoting",TRUE,FALSE)</formula>
    </cfRule>
    <cfRule type="expression" dxfId="7427" priority="14999">
      <formula>IF($B36="Quoting",TRUE,FALSE)</formula>
    </cfRule>
    <cfRule type="expression" dxfId="7426" priority="15000">
      <formula>IF($B36="Quoting",TRUE,FALSE)</formula>
    </cfRule>
    <cfRule type="expression" dxfId="7425" priority="15001">
      <formula>IF($B36="Quoting",TRUE,FALSE)</formula>
    </cfRule>
    <cfRule type="expression" dxfId="7424" priority="15002">
      <formula>IF($B36="Quoting",TRUE,FALSE)</formula>
    </cfRule>
    <cfRule type="expression" dxfId="7423" priority="15003">
      <formula>IF($B36="Quoting",TRUE,FALSE)</formula>
    </cfRule>
    <cfRule type="expression" dxfId="7422" priority="15004">
      <formula>IF($B36="Quoting",TRUE,FALSE)</formula>
    </cfRule>
    <cfRule type="expression" dxfId="7421" priority="15005">
      <formula>IF($B36="Quoting",TRUE,FALSE)</formula>
    </cfRule>
    <cfRule type="expression" dxfId="7420" priority="15006">
      <formula>IF($B36="Quoting",TRUE,FALSE)</formula>
    </cfRule>
    <cfRule type="expression" dxfId="7419" priority="15007">
      <formula>IF($B36="Quoting",TRUE,FALSE)</formula>
    </cfRule>
    <cfRule type="expression" dxfId="7418" priority="15008">
      <formula>IF($B36="Quoting",TRUE,FALSE)</formula>
    </cfRule>
    <cfRule type="expression" dxfId="7417" priority="15009">
      <formula>IF($B36="Quoting",TRUE,FALSE)</formula>
    </cfRule>
    <cfRule type="expression" dxfId="7416" priority="15010">
      <formula>IF($B36="Quoting",TRUE,FALSE)</formula>
    </cfRule>
    <cfRule type="expression" dxfId="7415" priority="15011">
      <formula>IF($B36="Quoting",TRUE,FALSE)</formula>
    </cfRule>
    <cfRule type="expression" dxfId="7414" priority="15012">
      <formula>IF($B36="Quoting",TRUE,FALSE)</formula>
    </cfRule>
    <cfRule type="expression" dxfId="7413" priority="15013">
      <formula>IF($B36="Quoting",TRUE,FALSE)</formula>
    </cfRule>
    <cfRule type="expression" dxfId="7412" priority="15014">
      <formula>IF($B36="Quoting",TRUE,FALSE)</formula>
    </cfRule>
    <cfRule type="expression" dxfId="7411" priority="15015">
      <formula>IF($B36="Quoting",TRUE,FALSE)</formula>
    </cfRule>
    <cfRule type="expression" dxfId="7410" priority="15016">
      <formula>IF($B36="Quoting",TRUE,FALSE)</formula>
    </cfRule>
    <cfRule type="expression" dxfId="7409" priority="15017">
      <formula>IF($B36="Quoting",TRUE,FALSE)</formula>
    </cfRule>
    <cfRule type="expression" dxfId="7408" priority="15018">
      <formula>IF($B36="Quoting",TRUE,FALSE)</formula>
    </cfRule>
    <cfRule type="expression" dxfId="7407" priority="15019">
      <formula>IF($B36="Quoting",TRUE,FALSE)</formula>
    </cfRule>
    <cfRule type="expression" dxfId="7406" priority="15020">
      <formula>IF($B36="Quoting",TRUE,FALSE)</formula>
    </cfRule>
    <cfRule type="expression" dxfId="7405" priority="15021">
      <formula>IF($B36="Quoting",TRUE,FALSE)</formula>
    </cfRule>
    <cfRule type="expression" dxfId="7404" priority="15022">
      <formula>IF($B36="Quoting",TRUE,FALSE)</formula>
    </cfRule>
    <cfRule type="expression" dxfId="7403" priority="15023">
      <formula>IF($B36="Quoting",TRUE,FALSE)</formula>
    </cfRule>
    <cfRule type="expression" dxfId="7402" priority="15024">
      <formula>IF($B36="Quoting",TRUE,FALSE)</formula>
    </cfRule>
    <cfRule type="expression" dxfId="7401" priority="15025">
      <formula>IF($B36="Quoting",TRUE,FALSE)</formula>
    </cfRule>
    <cfRule type="expression" dxfId="7400" priority="15026">
      <formula>IF($B36="Quoting",TRUE,FALSE)</formula>
    </cfRule>
    <cfRule type="expression" dxfId="7399" priority="15027">
      <formula>IF($B36="Quoting",TRUE,FALSE)</formula>
    </cfRule>
    <cfRule type="expression" dxfId="7398" priority="15028">
      <formula>IF($B36="Quoting",TRUE,FALSE)</formula>
    </cfRule>
    <cfRule type="expression" dxfId="7397" priority="15029">
      <formula>IF($B36="Quoting",TRUE,FALSE)</formula>
    </cfRule>
    <cfRule type="expression" dxfId="7396" priority="15030">
      <formula>IF($B36="Quoting",TRUE,FALSE)</formula>
    </cfRule>
    <cfRule type="expression" dxfId="7395" priority="15031">
      <formula>IF($B36="Quoting",TRUE,FALSE)</formula>
    </cfRule>
    <cfRule type="expression" dxfId="7394" priority="15032">
      <formula>IF($B36="Quoting",TRUE,FALSE)</formula>
    </cfRule>
    <cfRule type="expression" dxfId="7393" priority="15033">
      <formula>IF($B36="Quoting",TRUE,FALSE)</formula>
    </cfRule>
    <cfRule type="expression" dxfId="7392" priority="15034">
      <formula>IF($B36="Quoting",TRUE,FALSE)</formula>
    </cfRule>
    <cfRule type="expression" dxfId="7391" priority="15035">
      <formula>IF($B36="Quoting",TRUE,FALSE)</formula>
    </cfRule>
    <cfRule type="expression" dxfId="7390" priority="15036">
      <formula>IF($B36="Quoting",TRUE,FALSE)</formula>
    </cfRule>
    <cfRule type="expression" dxfId="7389" priority="15037">
      <formula>IF($B36="Quoting",TRUE,FALSE)</formula>
    </cfRule>
    <cfRule type="expression" dxfId="7388" priority="15038">
      <formula>IF($B36="Quoting",TRUE,FALSE)</formula>
    </cfRule>
    <cfRule type="expression" dxfId="7387" priority="15039">
      <formula>IF($B36="Quoting",TRUE,FALSE)</formula>
    </cfRule>
    <cfRule type="expression" dxfId="7386" priority="15040">
      <formula>IF($B36="Quoting",TRUE,FALSE)</formula>
    </cfRule>
    <cfRule type="expression" dxfId="7385" priority="15041">
      <formula>IF($B36="Quoting",TRUE,FALSE)</formula>
    </cfRule>
    <cfRule type="expression" dxfId="7384" priority="15042">
      <formula>IF($B36="Quoting",TRUE,FALSE)</formula>
    </cfRule>
    <cfRule type="expression" dxfId="7383" priority="15043">
      <formula>IF($B36="Quoting",TRUE,FALSE)</formula>
    </cfRule>
    <cfRule type="expression" dxfId="7382" priority="15044">
      <formula>IF($B36="Quoting",TRUE,FALSE)</formula>
    </cfRule>
    <cfRule type="expression" dxfId="7381" priority="15045">
      <formula>IF($B36="Quoting",TRUE,FALSE)</formula>
    </cfRule>
    <cfRule type="expression" dxfId="7380" priority="15046">
      <formula>IF($B36="Quoting",TRUE,FALSE)</formula>
    </cfRule>
    <cfRule type="expression" dxfId="7379" priority="15047">
      <formula>IF($B36="Quoting",TRUE,FALSE)</formula>
    </cfRule>
    <cfRule type="expression" dxfId="7378" priority="15048">
      <formula>IF($B36="Quoting",TRUE,FALSE)</formula>
    </cfRule>
    <cfRule type="expression" dxfId="7377" priority="15049">
      <formula>IF($B36="Quoting",TRUE,FALSE)</formula>
    </cfRule>
    <cfRule type="expression" dxfId="7376" priority="15050">
      <formula>IF($B36="Quoting",TRUE,FALSE)</formula>
    </cfRule>
    <cfRule type="expression" dxfId="7375" priority="15051">
      <formula>IF($B36="Quoting",TRUE,FALSE)</formula>
    </cfRule>
    <cfRule type="expression" dxfId="7374" priority="15052">
      <formula>IF($B36="Quoting",TRUE,FALSE)</formula>
    </cfRule>
    <cfRule type="expression" dxfId="7373" priority="15053">
      <formula>IF($B36="Quoting",TRUE,FALSE)</formula>
    </cfRule>
    <cfRule type="expression" dxfId="7372" priority="15054">
      <formula>IF($B36="Quoting",TRUE,FALSE)</formula>
    </cfRule>
    <cfRule type="expression" dxfId="7371" priority="15055">
      <formula>IF($B36="Quoting",TRUE,FALSE)</formula>
    </cfRule>
    <cfRule type="expression" dxfId="7370" priority="15056">
      <formula>IF($B36="Quoting",TRUE,FALSE)</formula>
    </cfRule>
    <cfRule type="expression" dxfId="7369" priority="15057">
      <formula>IF($B36="Quoting",TRUE,FALSE)</formula>
    </cfRule>
    <cfRule type="expression" dxfId="7368" priority="15058">
      <formula>IF($B36="Quoting",TRUE,FALSE)</formula>
    </cfRule>
    <cfRule type="expression" dxfId="7367" priority="15059">
      <formula>IF($B36="Quoting",TRUE,FALSE)</formula>
    </cfRule>
    <cfRule type="expression" dxfId="7366" priority="15060">
      <formula>IF($B36="Quoting",TRUE,FALSE)</formula>
    </cfRule>
    <cfRule type="expression" dxfId="7365" priority="15061">
      <formula>IF($B36="Quoting",TRUE,FALSE)</formula>
    </cfRule>
    <cfRule type="expression" dxfId="7364" priority="15062">
      <formula>IF($B36="Quoting",TRUE,FALSE)</formula>
    </cfRule>
    <cfRule type="expression" dxfId="7363" priority="15063">
      <formula>IF($B36="Quoting",TRUE,FALSE)</formula>
    </cfRule>
    <cfRule type="expression" dxfId="7362" priority="15064">
      <formula>IF($B36="Quoting",TRUE,FALSE)</formula>
    </cfRule>
    <cfRule type="expression" dxfId="7361" priority="15065">
      <formula>IF($B36="Quoting",TRUE,FALSE)</formula>
    </cfRule>
    <cfRule type="expression" dxfId="7360" priority="15066">
      <formula>IF($B36="Quoting",TRUE,FALSE)</formula>
    </cfRule>
    <cfRule type="expression" dxfId="7359" priority="15067">
      <formula>IF($B36="Quoting",TRUE,FALSE)</formula>
    </cfRule>
    <cfRule type="expression" dxfId="7358" priority="15068">
      <formula>IF($B36="Quoting",TRUE,FALSE)</formula>
    </cfRule>
    <cfRule type="expression" dxfId="7357" priority="15069">
      <formula>IF($B36="Quoting",TRUE,FALSE)</formula>
    </cfRule>
    <cfRule type="expression" dxfId="7356" priority="15070">
      <formula>IF($B36="Quoting",TRUE,FALSE)</formula>
    </cfRule>
    <cfRule type="expression" dxfId="7355" priority="15071">
      <formula>IF($B36="Quoting",TRUE,FALSE)</formula>
    </cfRule>
    <cfRule type="expression" dxfId="7354" priority="15072">
      <formula>IF($B36="Quoting",TRUE,FALSE)</formula>
    </cfRule>
    <cfRule type="expression" dxfId="7353" priority="15073">
      <formula>IF($B36="Quoting",TRUE,FALSE)</formula>
    </cfRule>
    <cfRule type="expression" dxfId="7352" priority="15074">
      <formula>IF($B36="Quoting",TRUE,FALSE)</formula>
    </cfRule>
    <cfRule type="expression" dxfId="7351" priority="15075">
      <formula>IF($B36="Quoting",TRUE,FALSE)</formula>
    </cfRule>
    <cfRule type="expression" dxfId="7350" priority="15076">
      <formula>IF($B36="Quoting",TRUE,FALSE)</formula>
    </cfRule>
    <cfRule type="expression" dxfId="7349" priority="15077">
      <formula>IF($B36="Quoting",TRUE,FALSE)</formula>
    </cfRule>
    <cfRule type="expression" dxfId="7348" priority="15078">
      <formula>IF($B36="Quoting",TRUE,FALSE)</formula>
    </cfRule>
    <cfRule type="expression" dxfId="7347" priority="15079">
      <formula>IF($B36="Quoting",TRUE,FALSE)</formula>
    </cfRule>
    <cfRule type="expression" dxfId="7346" priority="15080">
      <formula>IF($B36="Quoting",TRUE,FALSE)</formula>
    </cfRule>
    <cfRule type="expression" dxfId="7345" priority="15081">
      <formula>IF($B36="Quoting",TRUE,FALSE)</formula>
    </cfRule>
    <cfRule type="expression" dxfId="7344" priority="15082">
      <formula>IF($B36="Quoting",TRUE,FALSE)</formula>
    </cfRule>
    <cfRule type="expression" dxfId="7343" priority="15083">
      <formula>IF($B36="Quoting",TRUE,FALSE)</formula>
    </cfRule>
    <cfRule type="expression" dxfId="7342" priority="15084">
      <formula>IF($B36="Quoting",TRUE,FALSE)</formula>
    </cfRule>
    <cfRule type="expression" dxfId="7341" priority="15085">
      <formula>IF($B36="Quoting",TRUE,FALSE)</formula>
    </cfRule>
    <cfRule type="expression" dxfId="7340" priority="15086">
      <formula>IF($B36="Quoting",TRUE,FALSE)</formula>
    </cfRule>
    <cfRule type="expression" dxfId="7339" priority="15087">
      <formula>IF($B36="Quoting",TRUE,FALSE)</formula>
    </cfRule>
    <cfRule type="expression" dxfId="7338" priority="15088">
      <formula>IF($B36="Quoting",TRUE,FALSE)</formula>
    </cfRule>
    <cfRule type="expression" dxfId="7337" priority="15089">
      <formula>IF($B36="Quoting",TRUE,FALSE)</formula>
    </cfRule>
    <cfRule type="expression" dxfId="7336" priority="15090">
      <formula>IF($B36="Quoting",TRUE,FALSE)</formula>
    </cfRule>
    <cfRule type="expression" dxfId="7335" priority="15091">
      <formula>IF($B36="Quoting",TRUE,FALSE)</formula>
    </cfRule>
    <cfRule type="expression" dxfId="7334" priority="15092">
      <formula>IF($B36="Quoting",TRUE,FALSE)</formula>
    </cfRule>
    <cfRule type="expression" dxfId="7333" priority="15093">
      <formula>IF($B36="Quoting",TRUE,FALSE)</formula>
    </cfRule>
    <cfRule type="expression" dxfId="7332" priority="15094">
      <formula>IF($B36="Quoting",TRUE,FALSE)</formula>
    </cfRule>
    <cfRule type="expression" dxfId="7331" priority="15095">
      <formula>IF($B36="Quoting",TRUE,FALSE)</formula>
    </cfRule>
    <cfRule type="expression" dxfId="7330" priority="15096">
      <formula>IF($B36="Quoting",TRUE,FALSE)</formula>
    </cfRule>
    <cfRule type="expression" dxfId="7329" priority="15097">
      <formula>IF($B36="Quoting",TRUE,FALSE)</formula>
    </cfRule>
    <cfRule type="expression" dxfId="7328" priority="15098">
      <formula>IF($B36="Quoting",TRUE,FALSE)</formula>
    </cfRule>
    <cfRule type="expression" dxfId="7327" priority="15099">
      <formula>IF($B36="Quoting",TRUE,FALSE)</formula>
    </cfRule>
    <cfRule type="expression" dxfId="7326" priority="15100">
      <formula>IF($B36="Quoting",TRUE,FALSE)</formula>
    </cfRule>
    <cfRule type="expression" dxfId="7325" priority="15101">
      <formula>IF($B36="Quoting",TRUE,FALSE)</formula>
    </cfRule>
    <cfRule type="expression" dxfId="7324" priority="15102">
      <formula>IF($B36="Quoting",TRUE,FALSE)</formula>
    </cfRule>
    <cfRule type="expression" dxfId="7323" priority="15103">
      <formula>IF($B36="Quoting",TRUE,FALSE)</formula>
    </cfRule>
    <cfRule type="expression" dxfId="7322" priority="15104">
      <formula>IF($B36="Quoting",TRUE,FALSE)</formula>
    </cfRule>
    <cfRule type="expression" dxfId="7321" priority="15105">
      <formula>IF($B36="Quoting",TRUE,FALSE)</formula>
    </cfRule>
    <cfRule type="expression" dxfId="7320" priority="15106">
      <formula>IF($B36="Quoting",TRUE,FALSE)</formula>
    </cfRule>
    <cfRule type="expression" dxfId="7319" priority="15107">
      <formula>IF($B36="Quoting",TRUE,FALSE)</formula>
    </cfRule>
    <cfRule type="expression" dxfId="7318" priority="15108">
      <formula>IF($B36="Quoting",TRUE,FALSE)</formula>
    </cfRule>
    <cfRule type="expression" dxfId="7317" priority="15109">
      <formula>IF($B36="Quoting",TRUE,FALSE)</formula>
    </cfRule>
    <cfRule type="expression" dxfId="7316" priority="15110">
      <formula>IF($B36="Quoting",TRUE,FALSE)</formula>
    </cfRule>
    <cfRule type="expression" dxfId="7315" priority="15111">
      <formula>IF($B36="Quoting",TRUE,FALSE)</formula>
    </cfRule>
    <cfRule type="expression" dxfId="7314" priority="15112">
      <formula>IF($B36="Quoting",TRUE,FALSE)</formula>
    </cfRule>
    <cfRule type="expression" dxfId="7313" priority="15113">
      <formula>IF($B36="Quoting",TRUE,FALSE)</formula>
    </cfRule>
    <cfRule type="expression" dxfId="7312" priority="15114">
      <formula>IF($B36="Quoting",TRUE,FALSE)</formula>
    </cfRule>
    <cfRule type="expression" dxfId="7311" priority="15115">
      <formula>IF($B36="Quoting",TRUE,FALSE)</formula>
    </cfRule>
    <cfRule type="expression" dxfId="7310" priority="15116">
      <formula>IF($B36="Quoting",TRUE,FALSE)</formula>
    </cfRule>
    <cfRule type="expression" dxfId="7309" priority="15117">
      <formula>IF($B36="Quoting",TRUE,FALSE)</formula>
    </cfRule>
    <cfRule type="expression" dxfId="7308" priority="15118">
      <formula>IF($B36="Quoting",TRUE,FALSE)</formula>
    </cfRule>
    <cfRule type="expression" dxfId="7307" priority="15119">
      <formula>IF($B36="Quoting",TRUE,FALSE)</formula>
    </cfRule>
    <cfRule type="expression" dxfId="7306" priority="15120">
      <formula>IF($B36="Quoting",TRUE,FALSE)</formula>
    </cfRule>
    <cfRule type="expression" dxfId="7305" priority="15121">
      <formula>IF($B36="Quoting",TRUE,FALSE)</formula>
    </cfRule>
    <cfRule type="expression" dxfId="7304" priority="15122">
      <formula>IF($B36="Quoting",TRUE,FALSE)</formula>
    </cfRule>
    <cfRule type="expression" dxfId="7303" priority="15123">
      <formula>IF($B36="Quoting",TRUE,FALSE)</formula>
    </cfRule>
    <cfRule type="expression" dxfId="7302" priority="15124">
      <formula>IF($B36="Quoting",TRUE,FALSE)</formula>
    </cfRule>
    <cfRule type="expression" dxfId="7301" priority="15125">
      <formula>IF($B36="Quoting",TRUE,FALSE)</formula>
    </cfRule>
    <cfRule type="expression" dxfId="7300" priority="15126">
      <formula>IF($B36="Quoting",TRUE,FALSE)</formula>
    </cfRule>
    <cfRule type="expression" dxfId="7299" priority="15127">
      <formula>IF($B36="Quoting",TRUE,FALSE)</formula>
    </cfRule>
    <cfRule type="expression" dxfId="7298" priority="15128">
      <formula>IF($B36="Quoting",TRUE,FALSE)</formula>
    </cfRule>
    <cfRule type="expression" dxfId="7297" priority="15129">
      <formula>IF($B36="Quoting",TRUE,FALSE)</formula>
    </cfRule>
    <cfRule type="expression" dxfId="7296" priority="15130">
      <formula>IF($B36="Quoting",TRUE,FALSE)</formula>
    </cfRule>
    <cfRule type="expression" dxfId="7295" priority="15131">
      <formula>IF($B36="Quoting",TRUE,FALSE)</formula>
    </cfRule>
    <cfRule type="expression" dxfId="7294" priority="15132">
      <formula>IF($B36="Quoting",TRUE,FALSE)</formula>
    </cfRule>
    <cfRule type="expression" dxfId="7293" priority="15133">
      <formula>IF($B36="Quoting",TRUE,FALSE)</formula>
    </cfRule>
    <cfRule type="expression" dxfId="7292" priority="15134">
      <formula>IF($B36="Quoting",TRUE,FALSE)</formula>
    </cfRule>
    <cfRule type="expression" dxfId="7291" priority="15135">
      <formula>IF($B36="Quoting",TRUE,FALSE)</formula>
    </cfRule>
    <cfRule type="expression" dxfId="7290" priority="15136">
      <formula>IF($B36="Quoting",TRUE,FALSE)</formula>
    </cfRule>
    <cfRule type="expression" dxfId="7289" priority="15137">
      <formula>IF($B36="Quoting",TRUE,FALSE)</formula>
    </cfRule>
    <cfRule type="expression" dxfId="7288" priority="15138">
      <formula>IF($B36="Quoting",TRUE,FALSE)</formula>
    </cfRule>
    <cfRule type="expression" dxfId="7287" priority="15139">
      <formula>IF($B36="Quoting",TRUE,FALSE)</formula>
    </cfRule>
    <cfRule type="expression" dxfId="7286" priority="15140">
      <formula>IF($B36="Quoting",TRUE,FALSE)</formula>
    </cfRule>
    <cfRule type="expression" dxfId="7285" priority="15141">
      <formula>IF($B36="Quoting",TRUE,FALSE)</formula>
    </cfRule>
    <cfRule type="expression" dxfId="7284" priority="15142">
      <formula>IF($B36="Quoting",TRUE,FALSE)</formula>
    </cfRule>
    <cfRule type="expression" dxfId="7283" priority="15143">
      <formula>IF($B36="Quoting",TRUE,FALSE)</formula>
    </cfRule>
    <cfRule type="expression" dxfId="7282" priority="15144">
      <formula>IF($B36="Quoting",TRUE,FALSE)</formula>
    </cfRule>
    <cfRule type="expression" dxfId="7281" priority="15145">
      <formula>IF($B36="Quoting",TRUE,FALSE)</formula>
    </cfRule>
    <cfRule type="expression" dxfId="7280" priority="15146">
      <formula>IF($B36="Quoting",TRUE,FALSE)</formula>
    </cfRule>
    <cfRule type="expression" dxfId="7279" priority="15147">
      <formula>IF($B36="Quoting",TRUE,FALSE)</formula>
    </cfRule>
    <cfRule type="expression" dxfId="7278" priority="15148">
      <formula>IF($B36="Quoting",TRUE,FALSE)</formula>
    </cfRule>
    <cfRule type="expression" dxfId="7277" priority="15149">
      <formula>IF($B36="Quoting",TRUE,FALSE)</formula>
    </cfRule>
    <cfRule type="expression" dxfId="7276" priority="15150">
      <formula>IF($B36="Quoting",TRUE,FALSE)</formula>
    </cfRule>
    <cfRule type="expression" dxfId="7275" priority="15151">
      <formula>IF($B36="Quoting",TRUE,FALSE)</formula>
    </cfRule>
    <cfRule type="expression" dxfId="7274" priority="15152">
      <formula>IF($B36="Quoting",TRUE,FALSE)</formula>
    </cfRule>
    <cfRule type="expression" dxfId="7273" priority="15153">
      <formula>IF($B36="Quoting",TRUE,FALSE)</formula>
    </cfRule>
    <cfRule type="expression" dxfId="7272" priority="15154">
      <formula>IF($B36="Quoting",TRUE,FALSE)</formula>
    </cfRule>
    <cfRule type="expression" dxfId="7271" priority="15155">
      <formula>IF($B36="Quoting",TRUE,FALSE)</formula>
    </cfRule>
    <cfRule type="expression" dxfId="7270" priority="15156">
      <formula>IF($B36="Quoting",TRUE,FALSE)</formula>
    </cfRule>
    <cfRule type="expression" dxfId="7269" priority="15157">
      <formula>IF($B36="Quoting",TRUE,FALSE)</formula>
    </cfRule>
    <cfRule type="expression" dxfId="7268" priority="15158">
      <formula>IF($B36="Quoting",TRUE,FALSE)</formula>
    </cfRule>
    <cfRule type="expression" dxfId="7267" priority="15159">
      <formula>IF($B36="Quoting",TRUE,FALSE)</formula>
    </cfRule>
    <cfRule type="expression" dxfId="7266" priority="15160">
      <formula>IF($B36="Quoting",TRUE,FALSE)</formula>
    </cfRule>
    <cfRule type="expression" dxfId="7265" priority="15161">
      <formula>IF($B36="Quoting",TRUE,FALSE)</formula>
    </cfRule>
    <cfRule type="expression" dxfId="7264" priority="15162">
      <formula>IF($B36="Quoting",TRUE,FALSE)</formula>
    </cfRule>
    <cfRule type="expression" dxfId="7263" priority="15163">
      <formula>IF($B36="Quoting",TRUE,FALSE)</formula>
    </cfRule>
    <cfRule type="expression" dxfId="7262" priority="15164">
      <formula>IF($B36="Quoting",TRUE,FALSE)</formula>
    </cfRule>
    <cfRule type="expression" dxfId="7261" priority="15165">
      <formula>IF($B36="Quoting",TRUE,FALSE)</formula>
    </cfRule>
    <cfRule type="expression" dxfId="7260" priority="15166">
      <formula>IF($B36="Quoting",TRUE,FALSE)</formula>
    </cfRule>
    <cfRule type="expression" dxfId="7259" priority="15167">
      <formula>IF($B36="Quoting",TRUE,FALSE)</formula>
    </cfRule>
    <cfRule type="expression" dxfId="7258" priority="15168">
      <formula>IF($B36="Quoting",TRUE,FALSE)</formula>
    </cfRule>
    <cfRule type="expression" dxfId="7257" priority="15169">
      <formula>IF($B36="Quoting",TRUE,FALSE)</formula>
    </cfRule>
    <cfRule type="expression" dxfId="7256" priority="15170">
      <formula>IF($B36="Quoting",TRUE,FALSE)</formula>
    </cfRule>
    <cfRule type="expression" dxfId="7255" priority="15171">
      <formula>IF($B36="Quoting",TRUE,FALSE)</formula>
    </cfRule>
    <cfRule type="expression" dxfId="7254" priority="15172">
      <formula>IF($B36="Quoting",TRUE,FALSE)</formula>
    </cfRule>
    <cfRule type="expression" dxfId="7253" priority="15173">
      <formula>IF($B36="Quoting",TRUE,FALSE)</formula>
    </cfRule>
    <cfRule type="expression" dxfId="7252" priority="15174">
      <formula>IF($B36="Quoting",TRUE,FALSE)</formula>
    </cfRule>
    <cfRule type="expression" dxfId="7251" priority="15175">
      <formula>IF($B36="Quoting",TRUE,FALSE)</formula>
    </cfRule>
    <cfRule type="expression" dxfId="7250" priority="15176">
      <formula>IF($B36="Quoting",TRUE,FALSE)</formula>
    </cfRule>
    <cfRule type="expression" dxfId="7249" priority="15177">
      <formula>IF($B36="Quoting",TRUE,FALSE)</formula>
    </cfRule>
    <cfRule type="expression" dxfId="7248" priority="15178">
      <formula>IF($B36="Quoting",TRUE,FALSE)</formula>
    </cfRule>
    <cfRule type="expression" dxfId="7247" priority="15179">
      <formula>IF($B36="Quoting",TRUE,FALSE)</formula>
    </cfRule>
    <cfRule type="expression" dxfId="7246" priority="15180">
      <formula>IF($B36="Quoting",TRUE,FALSE)</formula>
    </cfRule>
    <cfRule type="expression" dxfId="7245" priority="15181">
      <formula>IF($B36="Quoting",TRUE,FALSE)</formula>
    </cfRule>
    <cfRule type="expression" dxfId="7244" priority="15182">
      <formula>IF($B36="Quoting",TRUE,FALSE)</formula>
    </cfRule>
    <cfRule type="expression" dxfId="7243" priority="15183">
      <formula>IF($B36="Quoting",TRUE,FALSE)</formula>
    </cfRule>
    <cfRule type="expression" dxfId="7242" priority="15184">
      <formula>IF($B36="Quoting",TRUE,FALSE)</formula>
    </cfRule>
    <cfRule type="expression" dxfId="7241" priority="15185">
      <formula>IF($B36="Quoting",TRUE,FALSE)</formula>
    </cfRule>
    <cfRule type="expression" dxfId="7240" priority="15186">
      <formula>IF($B36="Quoting",TRUE,FALSE)</formula>
    </cfRule>
    <cfRule type="expression" dxfId="7239" priority="15187">
      <formula>IF($B36="Quoting",TRUE,FALSE)</formula>
    </cfRule>
    <cfRule type="expression" dxfId="7238" priority="15188">
      <formula>IF($B36="Quoting",TRUE,FALSE)</formula>
    </cfRule>
    <cfRule type="expression" dxfId="7237" priority="15189">
      <formula>IF($B36="Quoting",TRUE,FALSE)</formula>
    </cfRule>
    <cfRule type="expression" dxfId="7236" priority="15190">
      <formula>IF($B36="Quoting",TRUE,FALSE)</formula>
    </cfRule>
    <cfRule type="expression" dxfId="7235" priority="15191">
      <formula>IF($B36="Quoting",TRUE,FALSE)</formula>
    </cfRule>
    <cfRule type="expression" dxfId="7234" priority="15192">
      <formula>IF($B36="Quoting",TRUE,FALSE)</formula>
    </cfRule>
    <cfRule type="expression" dxfId="7233" priority="15193">
      <formula>IF($B36="Quoting",TRUE,FALSE)</formula>
    </cfRule>
    <cfRule type="expression" dxfId="7232" priority="15194">
      <formula>IF($B36="Quoting",TRUE,FALSE)</formula>
    </cfRule>
    <cfRule type="expression" dxfId="7231" priority="15195">
      <formula>IF($B36="Quoting",TRUE,FALSE)</formula>
    </cfRule>
    <cfRule type="expression" dxfId="7230" priority="15196">
      <formula>IF($B36="Quoting",TRUE,FALSE)</formula>
    </cfRule>
    <cfRule type="expression" dxfId="7229" priority="15197">
      <formula>IF($B36="Quoting",TRUE,FALSE)</formula>
    </cfRule>
    <cfRule type="expression" dxfId="7228" priority="15198">
      <formula>IF($B36="Quoting",TRUE,FALSE)</formula>
    </cfRule>
    <cfRule type="expression" dxfId="7227" priority="15199">
      <formula>IF($B36="Quoting",TRUE,FALSE)</formula>
    </cfRule>
    <cfRule type="expression" dxfId="7226" priority="15200">
      <formula>IF($B36="Quoting",TRUE,FALSE)</formula>
    </cfRule>
    <cfRule type="expression" dxfId="7225" priority="15201">
      <formula>IF($B36="Quoting",TRUE,FALSE)</formula>
    </cfRule>
    <cfRule type="expression" dxfId="7224" priority="15202">
      <formula>IF($B36="Quoting",TRUE,FALSE)</formula>
    </cfRule>
    <cfRule type="expression" dxfId="7223" priority="15203">
      <formula>IF($B36="Quoting",TRUE,FALSE)</formula>
    </cfRule>
    <cfRule type="expression" dxfId="7222" priority="15204">
      <formula>IF($B36="Quoting",TRUE,FALSE)</formula>
    </cfRule>
    <cfRule type="expression" dxfId="7221" priority="15205">
      <formula>IF($B36="Quoting",TRUE,FALSE)</formula>
    </cfRule>
    <cfRule type="expression" dxfId="7220" priority="15206">
      <formula>IF($B36="Quoting",TRUE,FALSE)</formula>
    </cfRule>
    <cfRule type="expression" dxfId="7219" priority="15207">
      <formula>IF($B36="Quoting",TRUE,FALSE)</formula>
    </cfRule>
    <cfRule type="expression" dxfId="7218" priority="15208">
      <formula>IF($B36="Quoting",TRUE,FALSE)</formula>
    </cfRule>
    <cfRule type="expression" dxfId="7217" priority="15209">
      <formula>IF($B36="Quoting",TRUE,FALSE)</formula>
    </cfRule>
    <cfRule type="expression" dxfId="7216" priority="15210">
      <formula>IF($B36="Quoting",TRUE,FALSE)</formula>
    </cfRule>
    <cfRule type="expression" dxfId="7215" priority="15211">
      <formula>IF($B36="Quoting",TRUE,FALSE)</formula>
    </cfRule>
    <cfRule type="expression" dxfId="7214" priority="15212">
      <formula>IF($B36="Quoting",TRUE,FALSE)</formula>
    </cfRule>
    <cfRule type="expression" dxfId="7213" priority="15213">
      <formula>IF($B36="Quoting",TRUE,FALSE)</formula>
    </cfRule>
    <cfRule type="expression" dxfId="7212" priority="15214">
      <formula>IF($B36="Quoting",TRUE,FALSE)</formula>
    </cfRule>
    <cfRule type="expression" dxfId="7211" priority="15215">
      <formula>IF($B36="Quoting",TRUE,FALSE)</formula>
    </cfRule>
    <cfRule type="expression" dxfId="7210" priority="15216">
      <formula>IF($B36="Quoting",TRUE,FALSE)</formula>
    </cfRule>
    <cfRule type="expression" dxfId="7209" priority="15217">
      <formula>IF($B36="Quoting",TRUE,FALSE)</formula>
    </cfRule>
    <cfRule type="expression" dxfId="7208" priority="15218">
      <formula>IF($B36="Quoting",TRUE,FALSE)</formula>
    </cfRule>
    <cfRule type="expression" dxfId="7207" priority="15219">
      <formula>IF($B36="Quoting",TRUE,FALSE)</formula>
    </cfRule>
    <cfRule type="expression" dxfId="7206" priority="15220">
      <formula>IF($B36="Quoting",TRUE,FALSE)</formula>
    </cfRule>
    <cfRule type="expression" dxfId="7205" priority="15221">
      <formula>IF($B36="Quoting",TRUE,FALSE)</formula>
    </cfRule>
    <cfRule type="expression" dxfId="7204" priority="15222">
      <formula>IF($B36="Quoting",TRUE,FALSE)</formula>
    </cfRule>
    <cfRule type="expression" dxfId="7203" priority="15223">
      <formula>IF($B36="Quoting",TRUE,FALSE)</formula>
    </cfRule>
    <cfRule type="expression" dxfId="7202" priority="15224">
      <formula>IF($B36="Quoting",TRUE,FALSE)</formula>
    </cfRule>
    <cfRule type="expression" dxfId="7201" priority="15225">
      <formula>IF($B36="Quoting",TRUE,FALSE)</formula>
    </cfRule>
    <cfRule type="expression" dxfId="7200" priority="15226">
      <formula>IF($B36="Quoting",TRUE,FALSE)</formula>
    </cfRule>
    <cfRule type="expression" dxfId="7199" priority="15227">
      <formula>IF($B36="Quoting",TRUE,FALSE)</formula>
    </cfRule>
    <cfRule type="expression" dxfId="7198" priority="15228">
      <formula>IF($B36="Quoting",TRUE,FALSE)</formula>
    </cfRule>
    <cfRule type="expression" dxfId="7197" priority="15229">
      <formula>IF($B36="Quoting",TRUE,FALSE)</formula>
    </cfRule>
    <cfRule type="expression" dxfId="7196" priority="15230">
      <formula>IF($B36="Quoting",TRUE,FALSE)</formula>
    </cfRule>
    <cfRule type="expression" dxfId="7195" priority="15231">
      <formula>IF($B36="Quoting",TRUE,FALSE)</formula>
    </cfRule>
    <cfRule type="expression" dxfId="7194" priority="15232">
      <formula>IF($B36="Quoting",TRUE,FALSE)</formula>
    </cfRule>
    <cfRule type="expression" dxfId="7193" priority="15233">
      <formula>IF($B36="Quoting",TRUE,FALSE)</formula>
    </cfRule>
    <cfRule type="expression" dxfId="7192" priority="15234">
      <formula>IF($B36="Quoting",TRUE,FALSE)</formula>
    </cfRule>
    <cfRule type="expression" dxfId="7191" priority="15235">
      <formula>IF($B36="Quoting",TRUE,FALSE)</formula>
    </cfRule>
    <cfRule type="expression" dxfId="7190" priority="15236">
      <formula>IF($B36="Quoting",TRUE,FALSE)</formula>
    </cfRule>
    <cfRule type="expression" dxfId="7189" priority="15237">
      <formula>IF($B36="Quoting",TRUE,FALSE)</formula>
    </cfRule>
    <cfRule type="expression" dxfId="7188" priority="15238">
      <formula>IF($B36="Quoting",TRUE,FALSE)</formula>
    </cfRule>
    <cfRule type="expression" dxfId="7187" priority="15239">
      <formula>IF($B36="Quoting",TRUE,FALSE)</formula>
    </cfRule>
    <cfRule type="expression" dxfId="7186" priority="15240">
      <formula>IF($B36="Quoting",TRUE,FALSE)</formula>
    </cfRule>
    <cfRule type="expression" dxfId="7185" priority="15241">
      <formula>IF($B36="Quoting",TRUE,FALSE)</formula>
    </cfRule>
    <cfRule type="expression" dxfId="7184" priority="15242">
      <formula>IF($B36="Quoting",TRUE,FALSE)</formula>
    </cfRule>
    <cfRule type="expression" dxfId="7183" priority="15243">
      <formula>IF($B36="Quoting",TRUE,FALSE)</formula>
    </cfRule>
    <cfRule type="expression" dxfId="7182" priority="15244">
      <formula>IF($B36="Quoting",TRUE,FALSE)</formula>
    </cfRule>
    <cfRule type="expression" dxfId="7181" priority="15245">
      <formula>IF($B36="Quoting",TRUE,FALSE)</formula>
    </cfRule>
    <cfRule type="expression" dxfId="7180" priority="15246">
      <formula>IF($B36="Quoting",TRUE,FALSE)</formula>
    </cfRule>
    <cfRule type="expression" dxfId="7179" priority="15247">
      <formula>IF($B36="Quoting",TRUE,FALSE)</formula>
    </cfRule>
    <cfRule type="expression" dxfId="7178" priority="15248">
      <formula>IF($B36="Quoting",TRUE,FALSE)</formula>
    </cfRule>
    <cfRule type="expression" dxfId="7177" priority="15249">
      <formula>IF($B36="Quoting",TRUE,FALSE)</formula>
    </cfRule>
    <cfRule type="expression" dxfId="7176" priority="15250">
      <formula>IF($B36="Quoting",TRUE,FALSE)</formula>
    </cfRule>
    <cfRule type="expression" dxfId="7175" priority="15251">
      <formula>IF($B36="Quoting",TRUE,FALSE)</formula>
    </cfRule>
    <cfRule type="expression" dxfId="7174" priority="15252">
      <formula>IF($B36="Quoting",TRUE,FALSE)</formula>
    </cfRule>
    <cfRule type="expression" dxfId="7173" priority="15253">
      <formula>IF($B36="Quoting",TRUE,FALSE)</formula>
    </cfRule>
    <cfRule type="expression" dxfId="7172" priority="15254">
      <formula>IF($B36="Quoting",TRUE,FALSE)</formula>
    </cfRule>
    <cfRule type="expression" dxfId="7171" priority="15255">
      <formula>IF($B36="Quoting",TRUE,FALSE)</formula>
    </cfRule>
    <cfRule type="expression" dxfId="7170" priority="15256">
      <formula>IF($B36="Quoting",TRUE,FALSE)</formula>
    </cfRule>
    <cfRule type="expression" dxfId="7169" priority="15257">
      <formula>IF($B36="Quoting",TRUE,FALSE)</formula>
    </cfRule>
    <cfRule type="expression" dxfId="7168" priority="15258">
      <formula>IF($B36="Quoting",TRUE,FALSE)</formula>
    </cfRule>
    <cfRule type="expression" dxfId="7167" priority="15259">
      <formula>IF($B36="Quoting",TRUE,FALSE)</formula>
    </cfRule>
    <cfRule type="expression" dxfId="7166" priority="15260">
      <formula>IF($B36="Quoting",TRUE,FALSE)</formula>
    </cfRule>
    <cfRule type="expression" dxfId="7165" priority="15261">
      <formula>IF($B36="Quoting",TRUE,FALSE)</formula>
    </cfRule>
    <cfRule type="expression" dxfId="7164" priority="15262">
      <formula>IF($B36="Quoting",TRUE,FALSE)</formula>
    </cfRule>
    <cfRule type="expression" dxfId="7163" priority="15263">
      <formula>IF($B36="Quoting",TRUE,FALSE)</formula>
    </cfRule>
    <cfRule type="expression" dxfId="7162" priority="15264">
      <formula>IF($B36="Quoting",TRUE,FALSE)</formula>
    </cfRule>
    <cfRule type="expression" dxfId="7161" priority="15265">
      <formula>IF($B36="Quoting",TRUE,FALSE)</formula>
    </cfRule>
    <cfRule type="expression" dxfId="7160" priority="15266">
      <formula>IF($B36="Quoting",TRUE,FALSE)</formula>
    </cfRule>
    <cfRule type="expression" dxfId="7159" priority="15267">
      <formula>IF($B36="Quoting",TRUE,FALSE)</formula>
    </cfRule>
    <cfRule type="expression" dxfId="7158" priority="15268">
      <formula>IF($B36="Quoting",TRUE,FALSE)</formula>
    </cfRule>
    <cfRule type="expression" dxfId="7157" priority="15269">
      <formula>IF($B36="Quoting",TRUE,FALSE)</formula>
    </cfRule>
    <cfRule type="expression" dxfId="7156" priority="15270">
      <formula>IF($B36="Quoting",TRUE,FALSE)</formula>
    </cfRule>
    <cfRule type="expression" dxfId="7155" priority="15271">
      <formula>IF($B36="Quoting",TRUE,FALSE)</formula>
    </cfRule>
    <cfRule type="expression" dxfId="7154" priority="15272">
      <formula>IF($B36="Quoting",TRUE,FALSE)</formula>
    </cfRule>
    <cfRule type="expression" dxfId="7153" priority="15273">
      <formula>IF($B36="Quoting",TRUE,FALSE)</formula>
    </cfRule>
    <cfRule type="expression" dxfId="7152" priority="15274">
      <formula>IF($B36="Quoting",TRUE,FALSE)</formula>
    </cfRule>
    <cfRule type="expression" dxfId="7151" priority="15275">
      <formula>IF($B36="Quoting",TRUE,FALSE)</formula>
    </cfRule>
    <cfRule type="expression" dxfId="7150" priority="15276">
      <formula>IF($B36="Quoting",TRUE,FALSE)</formula>
    </cfRule>
    <cfRule type="expression" dxfId="7149" priority="15277">
      <formula>IF($B36="Quoting",TRUE,FALSE)</formula>
    </cfRule>
    <cfRule type="expression" dxfId="7148" priority="15278">
      <formula>IF($B36="Quoting",TRUE,FALSE)</formula>
    </cfRule>
    <cfRule type="expression" dxfId="7147" priority="15279">
      <formula>IF($B36="Quoting",TRUE,FALSE)</formula>
    </cfRule>
    <cfRule type="expression" dxfId="7146" priority="15280">
      <formula>IF($B36="Quoting",TRUE,FALSE)</formula>
    </cfRule>
    <cfRule type="expression" dxfId="7145" priority="15281">
      <formula>IF($B36="Quoting",TRUE,FALSE)</formula>
    </cfRule>
    <cfRule type="expression" dxfId="7144" priority="15282">
      <formula>IF($B36="Quoting",TRUE,FALSE)</formula>
    </cfRule>
    <cfRule type="expression" dxfId="7143" priority="15283">
      <formula>IF($B36="Quoting",TRUE,FALSE)</formula>
    </cfRule>
    <cfRule type="expression" dxfId="7142" priority="15284">
      <formula>IF($B36="Quoting",TRUE,FALSE)</formula>
    </cfRule>
    <cfRule type="expression" dxfId="7141" priority="15285">
      <formula>IF($B36="Quoting",TRUE,FALSE)</formula>
    </cfRule>
    <cfRule type="expression" dxfId="7140" priority="15286">
      <formula>IF($B36="Quoting",TRUE,FALSE)</formula>
    </cfRule>
    <cfRule type="expression" dxfId="7139" priority="15287">
      <formula>IF($B36="Quoting",TRUE,FALSE)</formula>
    </cfRule>
    <cfRule type="expression" dxfId="7138" priority="15288">
      <formula>IF($B36="Quoting",TRUE,FALSE)</formula>
    </cfRule>
    <cfRule type="expression" dxfId="7137" priority="15289">
      <formula>IF($B36="Quoting",TRUE,FALSE)</formula>
    </cfRule>
    <cfRule type="expression" dxfId="7136" priority="15290">
      <formula>IF($B36="Quoting",TRUE,FALSE)</formula>
    </cfRule>
    <cfRule type="expression" dxfId="7135" priority="15291">
      <formula>IF($B36="Quoting",TRUE,FALSE)</formula>
    </cfRule>
    <cfRule type="expression" dxfId="7134" priority="15292">
      <formula>IF($B36="Quoting",TRUE,FALSE)</formula>
    </cfRule>
    <cfRule type="expression" dxfId="7133" priority="15293">
      <formula>IF($B36="Quoting",TRUE,FALSE)</formula>
    </cfRule>
    <cfRule type="expression" dxfId="7132" priority="15294">
      <formula>IF($B36="Quoting",TRUE,FALSE)</formula>
    </cfRule>
    <cfRule type="expression" dxfId="7131" priority="15295">
      <formula>IF($B36="Quoting",TRUE,FALSE)</formula>
    </cfRule>
    <cfRule type="expression" dxfId="7130" priority="15296">
      <formula>IF($B36="Quoting",TRUE,FALSE)</formula>
    </cfRule>
    <cfRule type="expression" dxfId="7129" priority="15297">
      <formula>IF($B36="Quoting",TRUE,FALSE)</formula>
    </cfRule>
    <cfRule type="expression" dxfId="7128" priority="15298">
      <formula>IF($B36="Quoting",TRUE,FALSE)</formula>
    </cfRule>
    <cfRule type="expression" dxfId="7127" priority="15299">
      <formula>IF($B36="Quoting",TRUE,FALSE)</formula>
    </cfRule>
    <cfRule type="expression" dxfId="7126" priority="15300">
      <formula>IF($B36="Quoting",TRUE,FALSE)</formula>
    </cfRule>
    <cfRule type="expression" dxfId="7125" priority="15301">
      <formula>IF($B36="Quoting",TRUE,FALSE)</formula>
    </cfRule>
    <cfRule type="expression" dxfId="7124" priority="15302">
      <formula>IF($B36="Quoting",TRUE,FALSE)</formula>
    </cfRule>
    <cfRule type="expression" dxfId="7123" priority="15303">
      <formula>IF($B36="Quoting",TRUE,FALSE)</formula>
    </cfRule>
    <cfRule type="expression" dxfId="7122" priority="15304">
      <formula>IF($B36="Quoting",TRUE,FALSE)</formula>
    </cfRule>
    <cfRule type="expression" dxfId="7121" priority="15305">
      <formula>IF($B36="Quoting",TRUE,FALSE)</formula>
    </cfRule>
    <cfRule type="expression" dxfId="7120" priority="15306">
      <formula>IF($B36="Quoting",TRUE,FALSE)</formula>
    </cfRule>
    <cfRule type="expression" dxfId="7119" priority="15307">
      <formula>IF($B36="Quoting",TRUE,FALSE)</formula>
    </cfRule>
    <cfRule type="expression" dxfId="7118" priority="15308">
      <formula>IF($B36="Quoting",TRUE,FALSE)</formula>
    </cfRule>
    <cfRule type="expression" dxfId="7117" priority="15309">
      <formula>IF($B36="Quoting",TRUE,FALSE)</formula>
    </cfRule>
    <cfRule type="expression" dxfId="7116" priority="15310">
      <formula>IF($B36="Quoting",TRUE,FALSE)</formula>
    </cfRule>
    <cfRule type="expression" dxfId="7115" priority="15311">
      <formula>IF($B36="Quoting",TRUE,FALSE)</formula>
    </cfRule>
    <cfRule type="expression" dxfId="7114" priority="15312">
      <formula>IF($B36="Quoting",TRUE,FALSE)</formula>
    </cfRule>
    <cfRule type="expression" dxfId="7113" priority="15313">
      <formula>IF($B36="Quoting",TRUE,FALSE)</formula>
    </cfRule>
    <cfRule type="expression" dxfId="7112" priority="15314">
      <formula>IF($B36="Quoting",TRUE,FALSE)</formula>
    </cfRule>
    <cfRule type="expression" dxfId="7111" priority="15315">
      <formula>IF($B36="Quoting",TRUE,FALSE)</formula>
    </cfRule>
    <cfRule type="expression" dxfId="7110" priority="15316">
      <formula>IF($B36="Quoting",TRUE,FALSE)</formula>
    </cfRule>
    <cfRule type="expression" dxfId="7109" priority="15317">
      <formula>IF($B36="Quoting",TRUE,FALSE)</formula>
    </cfRule>
    <cfRule type="expression" dxfId="7108" priority="15318">
      <formula>IF($B36="Quoting",TRUE,FALSE)</formula>
    </cfRule>
    <cfRule type="expression" dxfId="7107" priority="15319">
      <formula>IF($B36="Quoting",TRUE,FALSE)</formula>
    </cfRule>
    <cfRule type="expression" dxfId="7106" priority="15320">
      <formula>IF($B36="Quoting",TRUE,FALSE)</formula>
    </cfRule>
    <cfRule type="expression" dxfId="7105" priority="15321">
      <formula>IF($B36="Quoting",TRUE,FALSE)</formula>
    </cfRule>
    <cfRule type="expression" dxfId="7104" priority="15322">
      <formula>IF($B36="Quoting",TRUE,FALSE)</formula>
    </cfRule>
    <cfRule type="expression" dxfId="7103" priority="15323">
      <formula>IF($B36="Quoting",TRUE,FALSE)</formula>
    </cfRule>
    <cfRule type="expression" dxfId="7102" priority="15324">
      <formula>IF($B36="Quoting",TRUE,FALSE)</formula>
    </cfRule>
    <cfRule type="expression" dxfId="7101" priority="15325">
      <formula>IF($B36="Quoting",TRUE,FALSE)</formula>
    </cfRule>
    <cfRule type="expression" dxfId="7100" priority="15326">
      <formula>IF($B36="Quoting",TRUE,FALSE)</formula>
    </cfRule>
    <cfRule type="expression" dxfId="7099" priority="15327">
      <formula>IF($B36="Quoting",TRUE,FALSE)</formula>
    </cfRule>
    <cfRule type="expression" dxfId="7098" priority="15328">
      <formula>IF($B36="Quoting",TRUE,FALSE)</formula>
    </cfRule>
    <cfRule type="expression" dxfId="7097" priority="15329">
      <formula>IF($B36="Quoting",TRUE,FALSE)</formula>
    </cfRule>
    <cfRule type="expression" dxfId="7096" priority="15330">
      <formula>IF($B36="Quoting",TRUE,FALSE)</formula>
    </cfRule>
    <cfRule type="expression" dxfId="7095" priority="15331">
      <formula>IF($B36="Quoting",TRUE,FALSE)</formula>
    </cfRule>
    <cfRule type="expression" dxfId="7094" priority="15332">
      <formula>IF($B36="Quoting",TRUE,FALSE)</formula>
    </cfRule>
    <cfRule type="expression" dxfId="7093" priority="15333">
      <formula>IF($B36="Quoting",TRUE,FALSE)</formula>
    </cfRule>
    <cfRule type="expression" dxfId="7092" priority="15334">
      <formula>IF($B36="Quoting",TRUE,FALSE)</formula>
    </cfRule>
    <cfRule type="expression" dxfId="7091" priority="15335">
      <formula>IF($B36="Quoting",TRUE,FALSE)</formula>
    </cfRule>
    <cfRule type="expression" dxfId="7090" priority="15336">
      <formula>IF($B36="Quoting",TRUE,FALSE)</formula>
    </cfRule>
    <cfRule type="expression" dxfId="7089" priority="15337">
      <formula>IF($B36="Quoting",TRUE,FALSE)</formula>
    </cfRule>
    <cfRule type="expression" dxfId="7088" priority="15338">
      <formula>IF($B36="Quoting",TRUE,FALSE)</formula>
    </cfRule>
    <cfRule type="expression" dxfId="7087" priority="15339">
      <formula>IF($B36="Quoting",TRUE,FALSE)</formula>
    </cfRule>
    <cfRule type="expression" dxfId="7086" priority="15340">
      <formula>IF($B36="Quoting",TRUE,FALSE)</formula>
    </cfRule>
    <cfRule type="expression" dxfId="7085" priority="15341">
      <formula>IF($B36="Quoting",TRUE,FALSE)</formula>
    </cfRule>
    <cfRule type="expression" dxfId="7084" priority="15342">
      <formula>IF($B36="Quoting",TRUE,FALSE)</formula>
    </cfRule>
    <cfRule type="expression" dxfId="7083" priority="15343">
      <formula>IF($B36="Quoting",TRUE,FALSE)</formula>
    </cfRule>
    <cfRule type="expression" dxfId="7082" priority="15344">
      <formula>IF($B36="Quoting",TRUE,FALSE)</formula>
    </cfRule>
    <cfRule type="expression" dxfId="7081" priority="15345">
      <formula>IF($B36="Quoting",TRUE,FALSE)</formula>
    </cfRule>
    <cfRule type="expression" dxfId="7080" priority="15346">
      <formula>IF($B36="Quoting",TRUE,FALSE)</formula>
    </cfRule>
    <cfRule type="expression" dxfId="7079" priority="15347">
      <formula>IF($B36="Quoting",TRUE,FALSE)</formula>
    </cfRule>
    <cfRule type="expression" dxfId="7078" priority="15348">
      <formula>IF($B36="Quoting",TRUE,FALSE)</formula>
    </cfRule>
    <cfRule type="expression" dxfId="7077" priority="15349">
      <formula>IF($B36="Quoting",TRUE,FALSE)</formula>
    </cfRule>
    <cfRule type="expression" dxfId="7076" priority="15350">
      <formula>IF($B36="Quoting",TRUE,FALSE)</formula>
    </cfRule>
    <cfRule type="expression" dxfId="7075" priority="15351">
      <formula>IF($B36="Quoting",TRUE,FALSE)</formula>
    </cfRule>
    <cfRule type="expression" dxfId="7074" priority="15352">
      <formula>IF($B36="Quoting",TRUE,FALSE)</formula>
    </cfRule>
    <cfRule type="expression" dxfId="7073" priority="15353">
      <formula>IF($B36="Quoting",TRUE,FALSE)</formula>
    </cfRule>
    <cfRule type="expression" dxfId="7072" priority="15354">
      <formula>IF($B36="Quoting",TRUE,FALSE)</formula>
    </cfRule>
    <cfRule type="expression" dxfId="7071" priority="15355">
      <formula>IF($B36="Quoting",TRUE,FALSE)</formula>
    </cfRule>
    <cfRule type="expression" dxfId="7070" priority="15356">
      <formula>IF($B36="Quoting",TRUE,FALSE)</formula>
    </cfRule>
    <cfRule type="expression" dxfId="7069" priority="15357">
      <formula>IF($B36="Quoting",TRUE,FALSE)</formula>
    </cfRule>
    <cfRule type="expression" dxfId="7068" priority="15358">
      <formula>IF($B36="Quoting",TRUE,FALSE)</formula>
    </cfRule>
    <cfRule type="expression" dxfId="7067" priority="15359">
      <formula>IF($B36="Quoting",TRUE,FALSE)</formula>
    </cfRule>
    <cfRule type="expression" dxfId="7066" priority="15360">
      <formula>IF($B36="Quoting",TRUE,FALSE)</formula>
    </cfRule>
    <cfRule type="expression" dxfId="7065" priority="15361">
      <formula>IF($B36="Quoting",TRUE,FALSE)</formula>
    </cfRule>
    <cfRule type="expression" dxfId="7064" priority="15362">
      <formula>IF($B36="Quoting",TRUE,FALSE)</formula>
    </cfRule>
    <cfRule type="expression" dxfId="7063" priority="15363">
      <formula>IF($B36="Quoting",TRUE,FALSE)</formula>
    </cfRule>
    <cfRule type="expression" dxfId="7062" priority="15364">
      <formula>IF($B36="Quoting",TRUE,FALSE)</formula>
    </cfRule>
    <cfRule type="expression" dxfId="7061" priority="15365">
      <formula>IF($B36="Quoting",TRUE,FALSE)</formula>
    </cfRule>
    <cfRule type="expression" dxfId="7060" priority="15366">
      <formula>IF($B36="Quoting",TRUE,FALSE)</formula>
    </cfRule>
    <cfRule type="expression" dxfId="7059" priority="15367">
      <formula>IF($B36="Quoting",TRUE,FALSE)</formula>
    </cfRule>
    <cfRule type="expression" dxfId="7058" priority="15368">
      <formula>IF($B36="Quoting",TRUE,FALSE)</formula>
    </cfRule>
    <cfRule type="expression" dxfId="7057" priority="15369">
      <formula>IF($B36="Quoting",TRUE,FALSE)</formula>
    </cfRule>
    <cfRule type="expression" dxfId="7056" priority="15370">
      <formula>IF($B36="Quoting",TRUE,FALSE)</formula>
    </cfRule>
    <cfRule type="expression" dxfId="7055" priority="15371">
      <formula>IF($B36="Quoting",TRUE,FALSE)</formula>
    </cfRule>
    <cfRule type="expression" dxfId="7054" priority="15372">
      <formula>IF($B36="Quoting",TRUE,FALSE)</formula>
    </cfRule>
    <cfRule type="expression" dxfId="7053" priority="15373">
      <formula>IF($B36="Quoting",TRUE,FALSE)</formula>
    </cfRule>
    <cfRule type="expression" dxfId="7052" priority="15374">
      <formula>IF($B36="Quoting",TRUE,FALSE)</formula>
    </cfRule>
    <cfRule type="expression" dxfId="7051" priority="15375">
      <formula>IF($B36="Quoting",TRUE,FALSE)</formula>
    </cfRule>
    <cfRule type="expression" dxfId="7050" priority="15376">
      <formula>IF($B36="Quoting",TRUE,FALSE)</formula>
    </cfRule>
    <cfRule type="expression" dxfId="7049" priority="15377">
      <formula>IF($B36="Quoting",TRUE,FALSE)</formula>
    </cfRule>
    <cfRule type="expression" dxfId="7048" priority="15378">
      <formula>IF($B36="Quoting",TRUE,FALSE)</formula>
    </cfRule>
    <cfRule type="expression" dxfId="7047" priority="15379">
      <formula>IF($B36="Quoting",TRUE,FALSE)</formula>
    </cfRule>
    <cfRule type="expression" dxfId="7046" priority="15380">
      <formula>IF($B36="Quoting",TRUE,FALSE)</formula>
    </cfRule>
    <cfRule type="expression" dxfId="7045" priority="15381">
      <formula>IF($B36="Quoting",TRUE,FALSE)</formula>
    </cfRule>
    <cfRule type="expression" dxfId="7044" priority="15382">
      <formula>IF($B36="Quoting",TRUE,FALSE)</formula>
    </cfRule>
    <cfRule type="expression" dxfId="7043" priority="15383">
      <formula>IF($B36="Quoting",TRUE,FALSE)</formula>
    </cfRule>
    <cfRule type="expression" dxfId="7042" priority="15384">
      <formula>IF($B36="Quoting",TRUE,FALSE)</formula>
    </cfRule>
    <cfRule type="expression" dxfId="7041" priority="15385">
      <formula>IF($B36="Quoting",TRUE,FALSE)</formula>
    </cfRule>
    <cfRule type="expression" dxfId="7040" priority="15386">
      <formula>IF($B36="Quoting",TRUE,FALSE)</formula>
    </cfRule>
    <cfRule type="expression" dxfId="7039" priority="15387">
      <formula>IF($B36="Quoting",TRUE,FALSE)</formula>
    </cfRule>
    <cfRule type="expression" dxfId="7038" priority="15388">
      <formula>IF($B36="Quoting",TRUE,FALSE)</formula>
    </cfRule>
    <cfRule type="expression" dxfId="7037" priority="15389">
      <formula>IF($B36="Quoting",TRUE,FALSE)</formula>
    </cfRule>
    <cfRule type="expression" dxfId="7036" priority="15390">
      <formula>IF($B36="Quoting",TRUE,FALSE)</formula>
    </cfRule>
    <cfRule type="expression" dxfId="7035" priority="15391">
      <formula>IF($B36="Quoting",TRUE,FALSE)</formula>
    </cfRule>
    <cfRule type="expression" dxfId="7034" priority="15392">
      <formula>IF($B36="Quoting",TRUE,FALSE)</formula>
    </cfRule>
    <cfRule type="expression" dxfId="7033" priority="15393">
      <formula>IF($B36="Quoting",TRUE,FALSE)</formula>
    </cfRule>
    <cfRule type="expression" dxfId="7032" priority="15394">
      <formula>IF($B36="Quoting",TRUE,FALSE)</formula>
    </cfRule>
    <cfRule type="expression" dxfId="7031" priority="15395">
      <formula>IF($B36="Quoting",TRUE,FALSE)</formula>
    </cfRule>
    <cfRule type="expression" dxfId="7030" priority="15396">
      <formula>IF($B36="Quoting",TRUE,FALSE)</formula>
    </cfRule>
    <cfRule type="expression" dxfId="7029" priority="15397">
      <formula>IF($B36="Quoting",TRUE,FALSE)</formula>
    </cfRule>
    <cfRule type="expression" dxfId="7028" priority="15398">
      <formula>IF($B36="Quoting",TRUE,FALSE)</formula>
    </cfRule>
    <cfRule type="expression" dxfId="7027" priority="15399">
      <formula>IF($B36="Quoting",TRUE,FALSE)</formula>
    </cfRule>
    <cfRule type="expression" dxfId="7026" priority="15400">
      <formula>IF($B36="Quoting",TRUE,FALSE)</formula>
    </cfRule>
    <cfRule type="expression" dxfId="7025" priority="15401">
      <formula>IF($B36="Quoting",TRUE,FALSE)</formula>
    </cfRule>
    <cfRule type="expression" dxfId="7024" priority="15402">
      <formula>IF($B36="Quoting",TRUE,FALSE)</formula>
    </cfRule>
    <cfRule type="expression" dxfId="7023" priority="15403">
      <formula>IF($B36="Quoting",TRUE,FALSE)</formula>
    </cfRule>
    <cfRule type="expression" dxfId="7022" priority="15404">
      <formula>IF($B36="Quoting",TRUE,FALSE)</formula>
    </cfRule>
    <cfRule type="expression" dxfId="7021" priority="15405">
      <formula>IF($B36="Quoting",TRUE,FALSE)</formula>
    </cfRule>
    <cfRule type="expression" dxfId="7020" priority="15406">
      <formula>IF($B36="Quoting",TRUE,FALSE)</formula>
    </cfRule>
    <cfRule type="expression" dxfId="7019" priority="15407">
      <formula>IF($B36="Quoting",TRUE,FALSE)</formula>
    </cfRule>
    <cfRule type="expression" dxfId="7018" priority="15408">
      <formula>IF($B36="Quoting",TRUE,FALSE)</formula>
    </cfRule>
    <cfRule type="expression" dxfId="7017" priority="15409">
      <formula>IF($B36="Quoting",TRUE,FALSE)</formula>
    </cfRule>
    <cfRule type="expression" dxfId="7016" priority="15410">
      <formula>IF($B36="Quoting",TRUE,FALSE)</formula>
    </cfRule>
    <cfRule type="expression" dxfId="7015" priority="15411">
      <formula>IF($B36="Quoting",TRUE,FALSE)</formula>
    </cfRule>
    <cfRule type="expression" dxfId="7014" priority="15412">
      <formula>IF($B36="Quoting",TRUE,FALSE)</formula>
    </cfRule>
    <cfRule type="expression" dxfId="7013" priority="15413">
      <formula>IF($B36="Quoting",TRUE,FALSE)</formula>
    </cfRule>
    <cfRule type="expression" dxfId="7012" priority="15414">
      <formula>IF($B36="Quoting",TRUE,FALSE)</formula>
    </cfRule>
    <cfRule type="expression" dxfId="7011" priority="15415">
      <formula>IF($B36="Quoting",TRUE,FALSE)</formula>
    </cfRule>
    <cfRule type="expression" dxfId="7010" priority="15416">
      <formula>IF($B36="Quoting",TRUE,FALSE)</formula>
    </cfRule>
    <cfRule type="expression" dxfId="7009" priority="15417">
      <formula>IF($B36="Quoting",TRUE,FALSE)</formula>
    </cfRule>
    <cfRule type="expression" dxfId="7008" priority="15418">
      <formula>IF($B36="Quoting",TRUE,FALSE)</formula>
    </cfRule>
    <cfRule type="expression" dxfId="7007" priority="15419">
      <formula>IF($B36="Quoting",TRUE,FALSE)</formula>
    </cfRule>
    <cfRule type="expression" dxfId="7006" priority="15420">
      <formula>IF($B36="Quoting",TRUE,FALSE)</formula>
    </cfRule>
    <cfRule type="expression" dxfId="7005" priority="15421">
      <formula>IF($B36="Quoting",TRUE,FALSE)</formula>
    </cfRule>
    <cfRule type="expression" dxfId="7004" priority="15422">
      <formula>IF($B36="Quoting",TRUE,FALSE)</formula>
    </cfRule>
    <cfRule type="expression" dxfId="7003" priority="15423">
      <formula>IF($B36="Quoting",TRUE,FALSE)</formula>
    </cfRule>
    <cfRule type="expression" dxfId="7002" priority="15424">
      <formula>IF($B36="Quoting",TRUE,FALSE)</formula>
    </cfRule>
    <cfRule type="expression" dxfId="7001" priority="15425">
      <formula>IF($B36="Quoting",TRUE,FALSE)</formula>
    </cfRule>
    <cfRule type="expression" dxfId="7000" priority="15426">
      <formula>IF($B36="Quoting",TRUE,FALSE)</formula>
    </cfRule>
    <cfRule type="expression" dxfId="6999" priority="15427">
      <formula>IF($B36="Quoting",TRUE,FALSE)</formula>
    </cfRule>
    <cfRule type="expression" dxfId="6998" priority="15428">
      <formula>IF($B36="Quoting",TRUE,FALSE)</formula>
    </cfRule>
    <cfRule type="expression" dxfId="6997" priority="15429">
      <formula>IF($B36="Quoting",TRUE,FALSE)</formula>
    </cfRule>
    <cfRule type="expression" dxfId="6996" priority="15430">
      <formula>IF($B36="Quoting",TRUE,FALSE)</formula>
    </cfRule>
    <cfRule type="expression" dxfId="6995" priority="15431">
      <formula>IF($B36="Quoting",TRUE,FALSE)</formula>
    </cfRule>
    <cfRule type="expression" dxfId="6994" priority="15432">
      <formula>IF($B36="Quoting",TRUE,FALSE)</formula>
    </cfRule>
    <cfRule type="expression" dxfId="6993" priority="15433">
      <formula>IF($B36="Quoting",TRUE,FALSE)</formula>
    </cfRule>
    <cfRule type="expression" dxfId="6992" priority="15434">
      <formula>IF($B36="Quoting",TRUE,FALSE)</formula>
    </cfRule>
    <cfRule type="expression" dxfId="6991" priority="15435">
      <formula>IF($B36="Quoting",TRUE,FALSE)</formula>
    </cfRule>
    <cfRule type="expression" dxfId="6990" priority="15436">
      <formula>IF($B36="Quoting",TRUE,FALSE)</formula>
    </cfRule>
    <cfRule type="expression" dxfId="6989" priority="15437">
      <formula>IF($B36="Quoting",TRUE,FALSE)</formula>
    </cfRule>
    <cfRule type="expression" dxfId="6988" priority="15438">
      <formula>IF($B36="Quoting",TRUE,FALSE)</formula>
    </cfRule>
    <cfRule type="expression" dxfId="6987" priority="15439">
      <formula>IF($B36="Quoting",TRUE,FALSE)</formula>
    </cfRule>
    <cfRule type="expression" dxfId="6986" priority="15440">
      <formula>IF($B36="Quoting",TRUE,FALSE)</formula>
    </cfRule>
    <cfRule type="expression" dxfId="6985" priority="15441">
      <formula>IF($B36="Quoting",TRUE,FALSE)</formula>
    </cfRule>
    <cfRule type="expression" dxfId="6984" priority="15442">
      <formula>IF($B36="Quoting",TRUE,FALSE)</formula>
    </cfRule>
    <cfRule type="expression" dxfId="6983" priority="15443">
      <formula>IF($B36="Quoting",TRUE,FALSE)</formula>
    </cfRule>
    <cfRule type="expression" dxfId="6982" priority="15444">
      <formula>IF($B36="Quoting",TRUE,FALSE)</formula>
    </cfRule>
    <cfRule type="expression" dxfId="6981" priority="15445">
      <formula>IF($B36="Quoting",TRUE,FALSE)</formula>
    </cfRule>
    <cfRule type="expression" dxfId="6980" priority="15446">
      <formula>IF($B36="Quoting",TRUE,FALSE)</formula>
    </cfRule>
    <cfRule type="expression" dxfId="6979" priority="15447">
      <formula>IF($B36="Quoting",TRUE,FALSE)</formula>
    </cfRule>
    <cfRule type="expression" dxfId="6978" priority="15448">
      <formula>IF($B36="Quoting",TRUE,FALSE)</formula>
    </cfRule>
    <cfRule type="expression" dxfId="6977" priority="15449">
      <formula>IF($B36="Quoting",TRUE,FALSE)</formula>
    </cfRule>
    <cfRule type="expression" dxfId="6976" priority="15450">
      <formula>IF($B36="Quoting",TRUE,FALSE)</formula>
    </cfRule>
    <cfRule type="expression" dxfId="6975" priority="15451">
      <formula>IF($B36="Quoting",TRUE,FALSE)</formula>
    </cfRule>
    <cfRule type="expression" dxfId="6974" priority="15452">
      <formula>IF($B36="Quoting",TRUE,FALSE)</formula>
    </cfRule>
    <cfRule type="expression" dxfId="6973" priority="15453">
      <formula>IF($B36="Quoting",TRUE,FALSE)</formula>
    </cfRule>
    <cfRule type="expression" dxfId="6972" priority="15454">
      <formula>IF($B36="Quoting",TRUE,FALSE)</formula>
    </cfRule>
    <cfRule type="expression" dxfId="6971" priority="15455">
      <formula>IF($B36="Quoting",TRUE,FALSE)</formula>
    </cfRule>
    <cfRule type="expression" dxfId="6970" priority="15456">
      <formula>IF($B36="Quoting",TRUE,FALSE)</formula>
    </cfRule>
    <cfRule type="expression" dxfId="6969" priority="15457">
      <formula>IF($B36="Quoting",TRUE,FALSE)</formula>
    </cfRule>
    <cfRule type="expression" dxfId="6968" priority="15458">
      <formula>IF($B36="Quoting",TRUE,FALSE)</formula>
    </cfRule>
    <cfRule type="expression" dxfId="6967" priority="15459">
      <formula>IF($B36="Quoting",TRUE,FALSE)</formula>
    </cfRule>
    <cfRule type="expression" dxfId="6966" priority="15460">
      <formula>IF($B36="Quoting",TRUE,FALSE)</formula>
    </cfRule>
    <cfRule type="expression" dxfId="6965" priority="15461">
      <formula>IF($B36="Quoting",TRUE,FALSE)</formula>
    </cfRule>
    <cfRule type="expression" dxfId="6964" priority="15462">
      <formula>IF($B36="Quoting",TRUE,FALSE)</formula>
    </cfRule>
    <cfRule type="expression" dxfId="6963" priority="15463">
      <formula>IF($B36="Quoting",TRUE,FALSE)</formula>
    </cfRule>
    <cfRule type="expression" dxfId="6962" priority="15464">
      <formula>IF($B36="Quoting",TRUE,FALSE)</formula>
    </cfRule>
    <cfRule type="expression" dxfId="6961" priority="15465">
      <formula>IF($B36="Quoting",TRUE,FALSE)</formula>
    </cfRule>
    <cfRule type="expression" dxfId="6960" priority="15466">
      <formula>IF($B36="Quoting",TRUE,FALSE)</formula>
    </cfRule>
    <cfRule type="expression" dxfId="6959" priority="15467">
      <formula>IF($B36="Quoting",TRUE,FALSE)</formula>
    </cfRule>
    <cfRule type="expression" dxfId="6958" priority="15468">
      <formula>IF($B36="Quoting",TRUE,FALSE)</formula>
    </cfRule>
    <cfRule type="expression" dxfId="6957" priority="15469">
      <formula>IF($B36="Quoting",TRUE,FALSE)</formula>
    </cfRule>
    <cfRule type="expression" dxfId="6956" priority="15470">
      <formula>IF($B36="Quoting",TRUE,FALSE)</formula>
    </cfRule>
    <cfRule type="expression" dxfId="6955" priority="15471">
      <formula>IF($B36="Quoting",TRUE,FALSE)</formula>
    </cfRule>
    <cfRule type="expression" dxfId="6954" priority="15472">
      <formula>IF($B36="Quoting",TRUE,FALSE)</formula>
    </cfRule>
    <cfRule type="expression" dxfId="6953" priority="15473">
      <formula>IF($B36="Quoting",TRUE,FALSE)</formula>
    </cfRule>
    <cfRule type="expression" dxfId="6952" priority="15474">
      <formula>IF($B36="Quoting",TRUE,FALSE)</formula>
    </cfRule>
    <cfRule type="expression" dxfId="6951" priority="15475">
      <formula>IF($B36="Quoting",TRUE,FALSE)</formula>
    </cfRule>
    <cfRule type="expression" dxfId="6950" priority="15476">
      <formula>IF($B36="Quoting",TRUE,FALSE)</formula>
    </cfRule>
    <cfRule type="expression" dxfId="6949" priority="15477">
      <formula>IF($B36="Quoting",TRUE,FALSE)</formula>
    </cfRule>
    <cfRule type="expression" dxfId="6948" priority="15478">
      <formula>IF($B36="Quoting",TRUE,FALSE)</formula>
    </cfRule>
    <cfRule type="expression" dxfId="6947" priority="15479">
      <formula>IF($B36="Quoting",TRUE,FALSE)</formula>
    </cfRule>
    <cfRule type="expression" dxfId="6946" priority="15480">
      <formula>IF($B36="Quoting",TRUE,FALSE)</formula>
    </cfRule>
    <cfRule type="expression" dxfId="6945" priority="15481">
      <formula>IF($B36="Quoting",TRUE,FALSE)</formula>
    </cfRule>
    <cfRule type="expression" dxfId="6944" priority="15482">
      <formula>IF($B36="Quoting",TRUE,FALSE)</formula>
    </cfRule>
    <cfRule type="expression" dxfId="6943" priority="15483">
      <formula>IF($B36="Quoting",TRUE,FALSE)</formula>
    </cfRule>
    <cfRule type="expression" dxfId="6942" priority="15484">
      <formula>IF($B36="Quoting",TRUE,FALSE)</formula>
    </cfRule>
    <cfRule type="expression" dxfId="6941" priority="15485">
      <formula>IF($B36="Quoting",TRUE,FALSE)</formula>
    </cfRule>
    <cfRule type="expression" dxfId="6940" priority="15486">
      <formula>IF($B36="Quoting",TRUE,FALSE)</formula>
    </cfRule>
    <cfRule type="expression" dxfId="6939" priority="15487">
      <formula>IF($B36="Quoting",TRUE,FALSE)</formula>
    </cfRule>
    <cfRule type="expression" dxfId="6938" priority="15488">
      <formula>IF($B36="Quoting",TRUE,FALSE)</formula>
    </cfRule>
    <cfRule type="expression" dxfId="6937" priority="15489">
      <formula>IF($B36="Quoting",TRUE,FALSE)</formula>
    </cfRule>
    <cfRule type="expression" dxfId="6936" priority="15490">
      <formula>IF($B36="Quoting",TRUE,FALSE)</formula>
    </cfRule>
    <cfRule type="expression" dxfId="6935" priority="15491">
      <formula>IF($B36="Quoting",TRUE,FALSE)</formula>
    </cfRule>
    <cfRule type="expression" dxfId="6934" priority="15492">
      <formula>IF($B36="Quoting",TRUE,FALSE)</formula>
    </cfRule>
    <cfRule type="expression" dxfId="6933" priority="15493">
      <formula>IF($B36="Quoting",TRUE,FALSE)</formula>
    </cfRule>
    <cfRule type="expression" dxfId="6932" priority="15494">
      <formula>IF($B36="Quoting",TRUE,FALSE)</formula>
    </cfRule>
    <cfRule type="expression" dxfId="6931" priority="15495">
      <formula>IF($B36="Quoting",TRUE,FALSE)</formula>
    </cfRule>
    <cfRule type="expression" dxfId="6930" priority="15496">
      <formula>IF($B36="Quoting",TRUE,FALSE)</formula>
    </cfRule>
    <cfRule type="expression" dxfId="6929" priority="15497">
      <formula>IF($B36="Quoting",TRUE,FALSE)</formula>
    </cfRule>
    <cfRule type="expression" dxfId="6928" priority="15498">
      <formula>IF($B36="Quoting",TRUE,FALSE)</formula>
    </cfRule>
    <cfRule type="expression" dxfId="6927" priority="15499">
      <formula>IF($B36="Quoting",TRUE,FALSE)</formula>
    </cfRule>
    <cfRule type="expression" dxfId="6926" priority="15500">
      <formula>IF($B36="Quoting",TRUE,FALSE)</formula>
    </cfRule>
    <cfRule type="expression" dxfId="6925" priority="15501">
      <formula>IF($B36="Quoting",TRUE,FALSE)</formula>
    </cfRule>
    <cfRule type="expression" dxfId="6924" priority="15502">
      <formula>IF($B36="Quoting",TRUE,FALSE)</formula>
    </cfRule>
    <cfRule type="expression" dxfId="6923" priority="15503">
      <formula>IF($B36="Quoting",TRUE,FALSE)</formula>
    </cfRule>
    <cfRule type="expression" dxfId="6922" priority="15504">
      <formula>IF($B36="Quoting",TRUE,FALSE)</formula>
    </cfRule>
    <cfRule type="expression" dxfId="6921" priority="15505">
      <formula>IF($B36="Quoting",TRUE,FALSE)</formula>
    </cfRule>
    <cfRule type="expression" dxfId="6920" priority="15506">
      <formula>IF($B36="Quoting",TRUE,FALSE)</formula>
    </cfRule>
    <cfRule type="expression" dxfId="6919" priority="15507">
      <formula>IF($B36="Quoting",TRUE,FALSE)</formula>
    </cfRule>
    <cfRule type="expression" dxfId="6918" priority="15508">
      <formula>IF($B36="Quoting",TRUE,FALSE)</formula>
    </cfRule>
    <cfRule type="expression" dxfId="6917" priority="15509">
      <formula>IF($B36="Quoting",TRUE,FALSE)</formula>
    </cfRule>
    <cfRule type="expression" dxfId="6916" priority="15510">
      <formula>IF($B36="Quoting",TRUE,FALSE)</formula>
    </cfRule>
    <cfRule type="expression" dxfId="6915" priority="15511">
      <formula>IF($B36="Quoting",TRUE,FALSE)</formula>
    </cfRule>
    <cfRule type="expression" dxfId="6914" priority="15512">
      <formula>IF($B36="Quoting",TRUE,FALSE)</formula>
    </cfRule>
    <cfRule type="expression" dxfId="6913" priority="15513">
      <formula>IF($B36="Quoting",TRUE,FALSE)</formula>
    </cfRule>
    <cfRule type="expression" dxfId="6912" priority="15514">
      <formula>IF($B36="Quoting",TRUE,FALSE)</formula>
    </cfRule>
    <cfRule type="expression" dxfId="6911" priority="15515">
      <formula>IF($B36="Quoting",TRUE,FALSE)</formula>
    </cfRule>
    <cfRule type="expression" dxfId="6910" priority="15516">
      <formula>IF($B36="Quoting",TRUE,FALSE)</formula>
    </cfRule>
    <cfRule type="expression" dxfId="6909" priority="15517">
      <formula>IF($B36="Quoting",TRUE,FALSE)</formula>
    </cfRule>
    <cfRule type="expression" dxfId="6908" priority="15518">
      <formula>IF($B36="Quoting",TRUE,FALSE)</formula>
    </cfRule>
    <cfRule type="expression" dxfId="6907" priority="15519">
      <formula>IF($B36="Quoting",TRUE,FALSE)</formula>
    </cfRule>
    <cfRule type="expression" dxfId="6906" priority="15520">
      <formula>IF($B36="Quoting",TRUE,FALSE)</formula>
    </cfRule>
    <cfRule type="expression" dxfId="6905" priority="15521">
      <formula>IF($B36="Quoting",TRUE,FALSE)</formula>
    </cfRule>
    <cfRule type="expression" dxfId="6904" priority="15522">
      <formula>IF($B36="Quoting",TRUE,FALSE)</formula>
    </cfRule>
    <cfRule type="expression" dxfId="6903" priority="15523">
      <formula>IF($B36="Quoting",TRUE,FALSE)</formula>
    </cfRule>
    <cfRule type="expression" dxfId="6902" priority="15524">
      <formula>IF($B36="Quoting",TRUE,FALSE)</formula>
    </cfRule>
    <cfRule type="expression" dxfId="6901" priority="15525">
      <formula>IF($B36="Quoting",TRUE,FALSE)</formula>
    </cfRule>
    <cfRule type="expression" dxfId="6900" priority="15526">
      <formula>IF($B36="Quoting",TRUE,FALSE)</formula>
    </cfRule>
    <cfRule type="expression" dxfId="6899" priority="15527">
      <formula>IF($B36="Quoting",TRUE,FALSE)</formula>
    </cfRule>
    <cfRule type="expression" dxfId="6898" priority="15528">
      <formula>IF($B36="Quoting",TRUE,FALSE)</formula>
    </cfRule>
    <cfRule type="expression" dxfId="6897" priority="15529">
      <formula>IF($B36="Quoting",TRUE,FALSE)</formula>
    </cfRule>
    <cfRule type="expression" dxfId="6896" priority="15530">
      <formula>IF($B36="Quoting",TRUE,FALSE)</formula>
    </cfRule>
    <cfRule type="expression" dxfId="6895" priority="15531">
      <formula>IF($B36="Quoting",TRUE,FALSE)</formula>
    </cfRule>
    <cfRule type="expression" dxfId="6894" priority="15532">
      <formula>IF($B36="Quoting",TRUE,FALSE)</formula>
    </cfRule>
    <cfRule type="expression" dxfId="6893" priority="15533">
      <formula>IF($B36="Quoting",TRUE,FALSE)</formula>
    </cfRule>
    <cfRule type="expression" dxfId="6892" priority="15534">
      <formula>IF($B36="Quoting",TRUE,FALSE)</formula>
    </cfRule>
    <cfRule type="expression" dxfId="6891" priority="15535">
      <formula>IF($B36="Quoting",TRUE,FALSE)</formula>
    </cfRule>
    <cfRule type="expression" dxfId="6890" priority="15536">
      <formula>IF($B36="Quoting",TRUE,FALSE)</formula>
    </cfRule>
    <cfRule type="expression" dxfId="6889" priority="15537">
      <formula>IF($B36="Quoting",TRUE,FALSE)</formula>
    </cfRule>
    <cfRule type="expression" dxfId="6888" priority="15538">
      <formula>IF($B36="Quoting",TRUE,FALSE)</formula>
    </cfRule>
    <cfRule type="expression" dxfId="6887" priority="15539">
      <formula>IF($B36="Quoting",TRUE,FALSE)</formula>
    </cfRule>
    <cfRule type="expression" dxfId="6886" priority="15540">
      <formula>IF($B36="Quoting",TRUE,FALSE)</formula>
    </cfRule>
    <cfRule type="expression" dxfId="6885" priority="15541">
      <formula>IF($B36="Quoting",TRUE,FALSE)</formula>
    </cfRule>
    <cfRule type="expression" dxfId="6884" priority="15542">
      <formula>IF($B36="Quoting",TRUE,FALSE)</formula>
    </cfRule>
    <cfRule type="expression" dxfId="6883" priority="15543">
      <formula>IF($B36="Quoting",TRUE,FALSE)</formula>
    </cfRule>
    <cfRule type="expression" dxfId="6882" priority="15544">
      <formula>IF($B36="Quoting",TRUE,FALSE)</formula>
    </cfRule>
    <cfRule type="expression" dxfId="6881" priority="15545">
      <formula>IF($B36="Quoting",TRUE,FALSE)</formula>
    </cfRule>
    <cfRule type="expression" dxfId="6880" priority="15546">
      <formula>IF($B36="Quoting",TRUE,FALSE)</formula>
    </cfRule>
    <cfRule type="expression" dxfId="6879" priority="15547">
      <formula>IF($B36="Quoting",TRUE,FALSE)</formula>
    </cfRule>
    <cfRule type="expression" dxfId="6878" priority="15548">
      <formula>IF($B36="Quoting",TRUE,FALSE)</formula>
    </cfRule>
    <cfRule type="expression" dxfId="6877" priority="15549">
      <formula>IF($B36="Quoting",TRUE,FALSE)</formula>
    </cfRule>
    <cfRule type="expression" dxfId="6876" priority="15550">
      <formula>IF($B36="Quoting",TRUE,FALSE)</formula>
    </cfRule>
    <cfRule type="expression" dxfId="6875" priority="15551">
      <formula>IF($B36="Quoting",TRUE,FALSE)</formula>
    </cfRule>
    <cfRule type="expression" dxfId="6874" priority="15552">
      <formula>IF($B36="Quoting",TRUE,FALSE)</formula>
    </cfRule>
    <cfRule type="expression" dxfId="6873" priority="15553">
      <formula>IF($B36="Quoting",TRUE,FALSE)</formula>
    </cfRule>
    <cfRule type="expression" dxfId="6872" priority="15554">
      <formula>IF($B36="Quoting",TRUE,FALSE)</formula>
    </cfRule>
    <cfRule type="expression" dxfId="6871" priority="15555">
      <formula>IF($B36="Quoting",TRUE,FALSE)</formula>
    </cfRule>
    <cfRule type="expression" dxfId="6870" priority="15556">
      <formula>IF($B36="Quoting",TRUE,FALSE)</formula>
    </cfRule>
    <cfRule type="expression" dxfId="6869" priority="15557">
      <formula>IF($B36="Quoting",TRUE,FALSE)</formula>
    </cfRule>
    <cfRule type="expression" dxfId="6868" priority="15558">
      <formula>IF($B36="Quoting",TRUE,FALSE)</formula>
    </cfRule>
    <cfRule type="expression" dxfId="6867" priority="15559">
      <formula>IF($B36="Quoting",TRUE,FALSE)</formula>
    </cfRule>
    <cfRule type="expression" dxfId="6866" priority="15560">
      <formula>IF($B36="Quoting",TRUE,FALSE)</formula>
    </cfRule>
    <cfRule type="expression" dxfId="6865" priority="15561">
      <formula>IF($B36="Quoting",TRUE,FALSE)</formula>
    </cfRule>
    <cfRule type="expression" dxfId="6864" priority="15562">
      <formula>IF($B36="Quoting",TRUE,FALSE)</formula>
    </cfRule>
    <cfRule type="expression" dxfId="6863" priority="15563">
      <formula>IF($B36="Quoting",TRUE,FALSE)</formula>
    </cfRule>
    <cfRule type="expression" dxfId="6862" priority="15564">
      <formula>IF($B36="Quoting",TRUE,FALSE)</formula>
    </cfRule>
    <cfRule type="expression" dxfId="6861" priority="15565">
      <formula>IF($B36="Quoting",TRUE,FALSE)</formula>
    </cfRule>
    <cfRule type="expression" dxfId="6860" priority="15566">
      <formula>IF($B36="Quoting",TRUE,FALSE)</formula>
    </cfRule>
    <cfRule type="expression" dxfId="6859" priority="15567">
      <formula>IF($B36="Quoting",TRUE,FALSE)</formula>
    </cfRule>
    <cfRule type="expression" dxfId="6858" priority="15568">
      <formula>IF($B36="Quoting",TRUE,FALSE)</formula>
    </cfRule>
    <cfRule type="expression" dxfId="6857" priority="15569">
      <formula>IF($B36="Quoting",TRUE,FALSE)</formula>
    </cfRule>
    <cfRule type="expression" dxfId="6856" priority="15570">
      <formula>IF($B36="Quoting",TRUE,FALSE)</formula>
    </cfRule>
    <cfRule type="expression" dxfId="6855" priority="15571">
      <formula>IF($B36="Quoting",TRUE,FALSE)</formula>
    </cfRule>
    <cfRule type="expression" dxfId="6854" priority="15572">
      <formula>IF($B36="Quoting",TRUE,FALSE)</formula>
    </cfRule>
    <cfRule type="expression" dxfId="6853" priority="15573">
      <formula>IF($B36="Quoting",TRUE,FALSE)</formula>
    </cfRule>
    <cfRule type="expression" dxfId="6852" priority="15574">
      <formula>IF($B36="Quoting",TRUE,FALSE)</formula>
    </cfRule>
    <cfRule type="expression" dxfId="6851" priority="15575">
      <formula>IF($B36="Quoting",TRUE,FALSE)</formula>
    </cfRule>
    <cfRule type="expression" dxfId="6850" priority="15576">
      <formula>IF($B36="Quoting",TRUE,FALSE)</formula>
    </cfRule>
    <cfRule type="expression" dxfId="6849" priority="15577">
      <formula>IF($B36="Quoting",TRUE,FALSE)</formula>
    </cfRule>
    <cfRule type="expression" dxfId="6848" priority="15578">
      <formula>IF($B36="Quoting",TRUE,FALSE)</formula>
    </cfRule>
    <cfRule type="expression" dxfId="6847" priority="15579">
      <formula>IF($B36="Quoting",TRUE,FALSE)</formula>
    </cfRule>
    <cfRule type="expression" dxfId="6846" priority="15580">
      <formula>IF($B36="Quoting",TRUE,FALSE)</formula>
    </cfRule>
    <cfRule type="expression" dxfId="6845" priority="15581">
      <formula>IF($B36="Quoting",TRUE,FALSE)</formula>
    </cfRule>
    <cfRule type="expression" dxfId="6844" priority="15582">
      <formula>IF($B36="Quoting",TRUE,FALSE)</formula>
    </cfRule>
    <cfRule type="expression" dxfId="6843" priority="15583">
      <formula>IF($B36="Quoting",TRUE,FALSE)</formula>
    </cfRule>
    <cfRule type="expression" dxfId="6842" priority="15584">
      <formula>IF($B36="Quoting",TRUE,FALSE)</formula>
    </cfRule>
    <cfRule type="expression" dxfId="6841" priority="15585">
      <formula>IF($B36="Quoting",TRUE,FALSE)</formula>
    </cfRule>
    <cfRule type="expression" dxfId="6840" priority="15586">
      <formula>IF($B36="Quoting",TRUE,FALSE)</formula>
    </cfRule>
    <cfRule type="expression" dxfId="6839" priority="15587">
      <formula>IF($B36="Quoting",TRUE,FALSE)</formula>
    </cfRule>
    <cfRule type="expression" dxfId="6838" priority="15588">
      <formula>IF($B36="Quoting",TRUE,FALSE)</formula>
    </cfRule>
    <cfRule type="expression" dxfId="6837" priority="15589">
      <formula>IF($B36="Quoting",TRUE,FALSE)</formula>
    </cfRule>
    <cfRule type="expression" dxfId="6836" priority="15590">
      <formula>IF($B36="Quoting",TRUE,FALSE)</formula>
    </cfRule>
    <cfRule type="expression" dxfId="6835" priority="15591">
      <formula>IF($B36="Quoting",TRUE,FALSE)</formula>
    </cfRule>
    <cfRule type="expression" dxfId="6834" priority="15592">
      <formula>IF($B36="Quoting",TRUE,FALSE)</formula>
    </cfRule>
    <cfRule type="expression" dxfId="6833" priority="15593">
      <formula>IF($B36="Quoting",TRUE,FALSE)</formula>
    </cfRule>
    <cfRule type="expression" dxfId="6832" priority="15594">
      <formula>IF($B36="Quoting",TRUE,FALSE)</formula>
    </cfRule>
    <cfRule type="expression" dxfId="6831" priority="15595">
      <formula>IF($B36="Quoting",TRUE,FALSE)</formula>
    </cfRule>
    <cfRule type="expression" dxfId="6830" priority="15596">
      <formula>IF($B36="Quoting",TRUE,FALSE)</formula>
    </cfRule>
    <cfRule type="expression" dxfId="6829" priority="15597">
      <formula>IF($B36="Quoting",TRUE,FALSE)</formula>
    </cfRule>
    <cfRule type="expression" dxfId="6828" priority="15598">
      <formula>IF($B36="Quoting",TRUE,FALSE)</formula>
    </cfRule>
    <cfRule type="expression" dxfId="6827" priority="15599">
      <formula>IF($B36="Quoting",TRUE,FALSE)</formula>
    </cfRule>
    <cfRule type="expression" dxfId="6826" priority="15600">
      <formula>IF($B36="Quoting",TRUE,FALSE)</formula>
    </cfRule>
    <cfRule type="expression" dxfId="6825" priority="15601">
      <formula>IF($B36="Quoting",TRUE,FALSE)</formula>
    </cfRule>
    <cfRule type="expression" dxfId="6824" priority="15602">
      <formula>IF($B36="Quoting",TRUE,FALSE)</formula>
    </cfRule>
    <cfRule type="expression" dxfId="6823" priority="15603">
      <formula>IF($B36="Quoting",TRUE,FALSE)</formula>
    </cfRule>
    <cfRule type="expression" dxfId="6822" priority="15604">
      <formula>IF($B36="Quoting",TRUE,FALSE)</formula>
    </cfRule>
    <cfRule type="expression" dxfId="6821" priority="15605">
      <formula>IF($B36="Quoting",TRUE,FALSE)</formula>
    </cfRule>
    <cfRule type="expression" dxfId="6820" priority="15606">
      <formula>IF($B36="Quoting",TRUE,FALSE)</formula>
    </cfRule>
    <cfRule type="expression" dxfId="6819" priority="15607">
      <formula>IF($B36="Quoting",TRUE,FALSE)</formula>
    </cfRule>
    <cfRule type="expression" dxfId="6818" priority="15608">
      <formula>IF($B36="Quoting",TRUE,FALSE)</formula>
    </cfRule>
    <cfRule type="expression" dxfId="6817" priority="15609">
      <formula>IF($B36="Quoting",TRUE,FALSE)</formula>
    </cfRule>
    <cfRule type="expression" dxfId="6816" priority="15610">
      <formula>IF($B36="Quoting",TRUE,FALSE)</formula>
    </cfRule>
    <cfRule type="expression" dxfId="6815" priority="15611">
      <formula>IF($B36="Quoting",TRUE,FALSE)</formula>
    </cfRule>
    <cfRule type="expression" dxfId="6814" priority="15612">
      <formula>IF($B36="Quoting",TRUE,FALSE)</formula>
    </cfRule>
    <cfRule type="expression" dxfId="6813" priority="15613">
      <formula>IF($B36="Quoting",TRUE,FALSE)</formula>
    </cfRule>
    <cfRule type="expression" dxfId="6812" priority="15614">
      <formula>IF($B36="Quoting",TRUE,FALSE)</formula>
    </cfRule>
    <cfRule type="expression" dxfId="6811" priority="15615">
      <formula>IF($B36="Quoting",TRUE,FALSE)</formula>
    </cfRule>
    <cfRule type="expression" dxfId="6810" priority="15616">
      <formula>IF($B36="Quoting",TRUE,FALSE)</formula>
    </cfRule>
    <cfRule type="expression" dxfId="6809" priority="15617">
      <formula>IF($B36="Quoting",TRUE,FALSE)</formula>
    </cfRule>
    <cfRule type="expression" dxfId="6808" priority="15618">
      <formula>IF($B36="Quoting",TRUE,FALSE)</formula>
    </cfRule>
    <cfRule type="expression" dxfId="6807" priority="15619">
      <formula>IF($B36="Quoting",TRUE,FALSE)</formula>
    </cfRule>
    <cfRule type="expression" dxfId="6806" priority="15620">
      <formula>IF($B36="Quoting",TRUE,FALSE)</formula>
    </cfRule>
    <cfRule type="expression" dxfId="6805" priority="15621">
      <formula>IF($B36="Quoting",TRUE,FALSE)</formula>
    </cfRule>
    <cfRule type="expression" dxfId="6804" priority="15622">
      <formula>IF($B36="Quoting",TRUE,FALSE)</formula>
    </cfRule>
    <cfRule type="expression" dxfId="6803" priority="15623">
      <formula>IF($B36="Quoting",TRUE,FALSE)</formula>
    </cfRule>
    <cfRule type="expression" dxfId="6802" priority="15624">
      <formula>IF($B36="Quoting",TRUE,FALSE)</formula>
    </cfRule>
    <cfRule type="expression" dxfId="6801" priority="15625">
      <formula>IF($B36="Quoting",TRUE,FALSE)</formula>
    </cfRule>
    <cfRule type="expression" dxfId="6800" priority="15626">
      <formula>IF($B36="Quoting",TRUE,FALSE)</formula>
    </cfRule>
    <cfRule type="expression" dxfId="6799" priority="15627">
      <formula>IF($B36="Quoting",TRUE,FALSE)</formula>
    </cfRule>
    <cfRule type="expression" dxfId="6798" priority="15628">
      <formula>IF($B36="Quoting",TRUE,FALSE)</formula>
    </cfRule>
    <cfRule type="expression" dxfId="6797" priority="15629">
      <formula>IF($B36="Quoting",TRUE,FALSE)</formula>
    </cfRule>
    <cfRule type="expression" dxfId="6796" priority="15630">
      <formula>IF($B36="Quoting",TRUE,FALSE)</formula>
    </cfRule>
    <cfRule type="expression" dxfId="6795" priority="15631">
      <formula>IF($B36="Quoting",TRUE,FALSE)</formula>
    </cfRule>
    <cfRule type="expression" dxfId="6794" priority="15632">
      <formula>IF($B36="Quoting",TRUE,FALSE)</formula>
    </cfRule>
    <cfRule type="expression" dxfId="6793" priority="15633">
      <formula>IF($B36="Quoting",TRUE,FALSE)</formula>
    </cfRule>
    <cfRule type="expression" dxfId="6792" priority="15634">
      <formula>IF($B36="Quoting",TRUE,FALSE)</formula>
    </cfRule>
    <cfRule type="expression" dxfId="6791" priority="15635">
      <formula>IF($B36="Quoting",TRUE,FALSE)</formula>
    </cfRule>
    <cfRule type="expression" dxfId="6790" priority="15636">
      <formula>IF($B36="Quoting",TRUE,FALSE)</formula>
    </cfRule>
    <cfRule type="expression" dxfId="6789" priority="15637">
      <formula>IF($B36="Quoting",TRUE,FALSE)</formula>
    </cfRule>
    <cfRule type="expression" dxfId="6788" priority="15638">
      <formula>IF($B36="Quoting",TRUE,FALSE)</formula>
    </cfRule>
    <cfRule type="expression" dxfId="6787" priority="15639">
      <formula>IF($B36="Quoting",TRUE,FALSE)</formula>
    </cfRule>
    <cfRule type="expression" dxfId="6786" priority="15640">
      <formula>IF($B36="Quoting",TRUE,FALSE)</formula>
    </cfRule>
    <cfRule type="expression" dxfId="6785" priority="15641">
      <formula>IF($B36="Quoting",TRUE,FALSE)</formula>
    </cfRule>
    <cfRule type="expression" dxfId="6784" priority="15642">
      <formula>IF($B36="Quoting",TRUE,FALSE)</formula>
    </cfRule>
    <cfRule type="expression" dxfId="6783" priority="15643">
      <formula>IF($B36="Quoting",TRUE,FALSE)</formula>
    </cfRule>
    <cfRule type="expression" dxfId="6782" priority="15644">
      <formula>IF($B36="Quoting",TRUE,FALSE)</formula>
    </cfRule>
    <cfRule type="expression" dxfId="6781" priority="15645">
      <formula>IF($B36="Quoting",TRUE,FALSE)</formula>
    </cfRule>
    <cfRule type="expression" dxfId="6780" priority="15646">
      <formula>IF($B36="Quoting",TRUE,FALSE)</formula>
    </cfRule>
    <cfRule type="expression" dxfId="6779" priority="15647">
      <formula>IF($B36="Quoting",TRUE,FALSE)</formula>
    </cfRule>
    <cfRule type="expression" dxfId="6778" priority="15648">
      <formula>IF($B36="Quoting",TRUE,FALSE)</formula>
    </cfRule>
    <cfRule type="expression" dxfId="6777" priority="15649">
      <formula>IF($B36="Quoting",TRUE,FALSE)</formula>
    </cfRule>
    <cfRule type="expression" dxfId="6776" priority="15650">
      <formula>IF($B36="Quoting",TRUE,FALSE)</formula>
    </cfRule>
    <cfRule type="expression" dxfId="6775" priority="15651">
      <formula>IF($B36="Quoting",TRUE,FALSE)</formula>
    </cfRule>
    <cfRule type="expression" dxfId="6774" priority="15652">
      <formula>IF($B36="Quoting",TRUE,FALSE)</formula>
    </cfRule>
    <cfRule type="expression" dxfId="6773" priority="15653">
      <formula>IF($B36="Quoting",TRUE,FALSE)</formula>
    </cfRule>
    <cfRule type="expression" dxfId="6772" priority="15654">
      <formula>IF($B36="Quoting",TRUE,FALSE)</formula>
    </cfRule>
    <cfRule type="expression" dxfId="6771" priority="15655">
      <formula>IF($B36="Quoting",TRUE,FALSE)</formula>
    </cfRule>
    <cfRule type="expression" dxfId="6770" priority="15656">
      <formula>IF($B36="Quoting",TRUE,FALSE)</formula>
    </cfRule>
    <cfRule type="expression" dxfId="6769" priority="15657">
      <formula>IF($B36="Quoting",TRUE,FALSE)</formula>
    </cfRule>
    <cfRule type="expression" dxfId="6768" priority="15658">
      <formula>IF($B36="Quoting",TRUE,FALSE)</formula>
    </cfRule>
    <cfRule type="expression" dxfId="6767" priority="15659">
      <formula>IF($B36="Quoting",TRUE,FALSE)</formula>
    </cfRule>
    <cfRule type="expression" dxfId="6766" priority="15660">
      <formula>IF($B36="Quoting",TRUE,FALSE)</formula>
    </cfRule>
    <cfRule type="expression" dxfId="6765" priority="15661">
      <formula>IF($B36="Quoting",TRUE,FALSE)</formula>
    </cfRule>
    <cfRule type="expression" dxfId="6764" priority="15662">
      <formula>IF($B36="Quoting",TRUE,FALSE)</formula>
    </cfRule>
    <cfRule type="expression" dxfId="6763" priority="15663">
      <formula>IF($B36="Quoting",TRUE,FALSE)</formula>
    </cfRule>
    <cfRule type="expression" dxfId="6762" priority="15664">
      <formula>IF($B36="Quoting",TRUE,FALSE)</formula>
    </cfRule>
    <cfRule type="expression" dxfId="6761" priority="15665">
      <formula>IF($B36="Quoting",TRUE,FALSE)</formula>
    </cfRule>
    <cfRule type="expression" dxfId="6760" priority="15666">
      <formula>IF($B36="Quoting",TRUE,FALSE)</formula>
    </cfRule>
    <cfRule type="expression" dxfId="6759" priority="15667">
      <formula>IF($B36="Quoting",TRUE,FALSE)</formula>
    </cfRule>
    <cfRule type="expression" dxfId="6758" priority="15668">
      <formula>IF($B36="Quoting",TRUE,FALSE)</formula>
    </cfRule>
    <cfRule type="expression" dxfId="6757" priority="15669">
      <formula>IF($B36="Quoting",TRUE,FALSE)</formula>
    </cfRule>
    <cfRule type="expression" dxfId="6756" priority="15670">
      <formula>IF($B36="Quoting",TRUE,FALSE)</formula>
    </cfRule>
    <cfRule type="expression" dxfId="6755" priority="15671">
      <formula>IF($B36="Quoting",TRUE,FALSE)</formula>
    </cfRule>
    <cfRule type="expression" dxfId="6754" priority="15672">
      <formula>IF($B36="Quoting",TRUE,FALSE)</formula>
    </cfRule>
    <cfRule type="expression" dxfId="6753" priority="15673">
      <formula>IF($B36="Quoting",TRUE,FALSE)</formula>
    </cfRule>
    <cfRule type="expression" dxfId="6752" priority="15674">
      <formula>IF($B36="Quoting",TRUE,FALSE)</formula>
    </cfRule>
    <cfRule type="expression" dxfId="6751" priority="15675">
      <formula>IF($B36="Quoting",TRUE,FALSE)</formula>
    </cfRule>
    <cfRule type="expression" dxfId="6750" priority="15676">
      <formula>IF($B36="Quoting",TRUE,FALSE)</formula>
    </cfRule>
    <cfRule type="expression" dxfId="6749" priority="15677">
      <formula>IF($B36="Quoting",TRUE,FALSE)</formula>
    </cfRule>
    <cfRule type="expression" dxfId="6748" priority="15678">
      <formula>IF($B36="Quoting",TRUE,FALSE)</formula>
    </cfRule>
    <cfRule type="expression" dxfId="6747" priority="15679">
      <formula>IF($B36="Quoting",TRUE,FALSE)</formula>
    </cfRule>
    <cfRule type="expression" dxfId="6746" priority="15680">
      <formula>IF($B36="Quoting",TRUE,FALSE)</formula>
    </cfRule>
    <cfRule type="expression" dxfId="6745" priority="15681">
      <formula>IF($B36="Quoting",TRUE,FALSE)</formula>
    </cfRule>
    <cfRule type="expression" dxfId="6744" priority="15682">
      <formula>IF($B36="Quoting",TRUE,FALSE)</formula>
    </cfRule>
    <cfRule type="expression" dxfId="6743" priority="15683">
      <formula>IF($B36="Quoting",TRUE,FALSE)</formula>
    </cfRule>
    <cfRule type="expression" dxfId="6742" priority="15684">
      <formula>IF($B36="Quoting",TRUE,FALSE)</formula>
    </cfRule>
    <cfRule type="expression" dxfId="6741" priority="15685">
      <formula>IF($B36="Quoting",TRUE,FALSE)</formula>
    </cfRule>
    <cfRule type="expression" dxfId="6740" priority="15686">
      <formula>IF($B36="Quoting",TRUE,FALSE)</formula>
    </cfRule>
    <cfRule type="expression" dxfId="6739" priority="15687">
      <formula>IF($B36="Quoting",TRUE,FALSE)</formula>
    </cfRule>
    <cfRule type="expression" dxfId="6738" priority="15688">
      <formula>IF($B36="Quoting",TRUE,FALSE)</formula>
    </cfRule>
    <cfRule type="expression" dxfId="6737" priority="15689">
      <formula>IF($B36="Quoting",TRUE,FALSE)</formula>
    </cfRule>
    <cfRule type="expression" dxfId="6736" priority="15690">
      <formula>IF($B36="Quoting",TRUE,FALSE)</formula>
    </cfRule>
    <cfRule type="expression" dxfId="6735" priority="15691">
      <formula>IF($B36="Quoting",TRUE,FALSE)</formula>
    </cfRule>
    <cfRule type="expression" dxfId="6734" priority="15692">
      <formula>IF($B36="Quoting",TRUE,FALSE)</formula>
    </cfRule>
    <cfRule type="expression" dxfId="6733" priority="15693">
      <formula>IF($B36="Quoting",TRUE,FALSE)</formula>
    </cfRule>
    <cfRule type="expression" dxfId="6732" priority="15694">
      <formula>IF($B36="Quoting",TRUE,FALSE)</formula>
    </cfRule>
    <cfRule type="expression" dxfId="6731" priority="15695">
      <formula>IF($B36="Quoting",TRUE,FALSE)</formula>
    </cfRule>
    <cfRule type="expression" dxfId="6730" priority="15696">
      <formula>IF($B36="Quoting",TRUE,FALSE)</formula>
    </cfRule>
    <cfRule type="expression" dxfId="6729" priority="15697">
      <formula>IF($B36="Quoting",TRUE,FALSE)</formula>
    </cfRule>
    <cfRule type="expression" dxfId="6728" priority="15698">
      <formula>IF($B36="Quoting",TRUE,FALSE)</formula>
    </cfRule>
    <cfRule type="expression" dxfId="6727" priority="15699">
      <formula>IF($B36="Quoting",TRUE,FALSE)</formula>
    </cfRule>
    <cfRule type="expression" dxfId="6726" priority="15700">
      <formula>IF($B36="Quoting",TRUE,FALSE)</formula>
    </cfRule>
    <cfRule type="expression" dxfId="6725" priority="15701">
      <formula>IF($B36="Quoting",TRUE,FALSE)</formula>
    </cfRule>
    <cfRule type="expression" dxfId="6724" priority="15702">
      <formula>IF($B36="Quoting",TRUE,FALSE)</formula>
    </cfRule>
    <cfRule type="expression" dxfId="6723" priority="15703">
      <formula>IF($B36="Quoting",TRUE,FALSE)</formula>
    </cfRule>
    <cfRule type="expression" dxfId="6722" priority="15704">
      <formula>IF($B36="Quoting",TRUE,FALSE)</formula>
    </cfRule>
    <cfRule type="expression" dxfId="6721" priority="15705">
      <formula>IF($B36="Quoting",TRUE,FALSE)</formula>
    </cfRule>
    <cfRule type="expression" dxfId="6720" priority="15706">
      <formula>IF($B36="Quoting",TRUE,FALSE)</formula>
    </cfRule>
    <cfRule type="expression" dxfId="6719" priority="15707">
      <formula>IF($B36="Quoting",TRUE,FALSE)</formula>
    </cfRule>
    <cfRule type="expression" dxfId="6718" priority="15708">
      <formula>IF($B36="Quoting",TRUE,FALSE)</formula>
    </cfRule>
    <cfRule type="expression" dxfId="6717" priority="15709">
      <formula>IF($B36="Quoting",TRUE,FALSE)</formula>
    </cfRule>
    <cfRule type="expression" dxfId="6716" priority="15710">
      <formula>IF($B36="Quoting",TRUE,FALSE)</formula>
    </cfRule>
    <cfRule type="expression" dxfId="6715" priority="15711">
      <formula>IF($B36="Quoting",TRUE,FALSE)</formula>
    </cfRule>
    <cfRule type="expression" dxfId="6714" priority="15712">
      <formula>IF($B36="Quoting",TRUE,FALSE)</formula>
    </cfRule>
    <cfRule type="expression" dxfId="6713" priority="15713">
      <formula>IF($B36="Quoting",TRUE,FALSE)</formula>
    </cfRule>
    <cfRule type="expression" dxfId="6712" priority="15714">
      <formula>IF($B36="Quoting",TRUE,FALSE)</formula>
    </cfRule>
    <cfRule type="expression" dxfId="6711" priority="15715">
      <formula>IF($B36="Quoting",TRUE,FALSE)</formula>
    </cfRule>
    <cfRule type="expression" dxfId="6710" priority="15716">
      <formula>IF($B36="Quoting",TRUE,FALSE)</formula>
    </cfRule>
    <cfRule type="expression" dxfId="6709" priority="15717">
      <formula>IF($B36="Quoting",TRUE,FALSE)</formula>
    </cfRule>
    <cfRule type="expression" dxfId="6708" priority="15718">
      <formula>IF($B36="Quoting",TRUE,FALSE)</formula>
    </cfRule>
    <cfRule type="expression" dxfId="6707" priority="15719">
      <formula>IF($B36="Quoting",TRUE,FALSE)</formula>
    </cfRule>
    <cfRule type="expression" dxfId="6706" priority="15720">
      <formula>IF($B36="Quoting",TRUE,FALSE)</formula>
    </cfRule>
    <cfRule type="expression" dxfId="6705" priority="15721">
      <formula>IF($B36="Quoting",TRUE,FALSE)</formula>
    </cfRule>
    <cfRule type="expression" dxfId="6704" priority="15722">
      <formula>IF($B36="Quoting",TRUE,FALSE)</formula>
    </cfRule>
    <cfRule type="expression" dxfId="6703" priority="15723">
      <formula>IF($B36="Quoting",TRUE,FALSE)</formula>
    </cfRule>
    <cfRule type="expression" dxfId="6702" priority="15724">
      <formula>IF($B36="Quoting",TRUE,FALSE)</formula>
    </cfRule>
    <cfRule type="expression" dxfId="6701" priority="15725">
      <formula>IF($B36="Quoting",TRUE,FALSE)</formula>
    </cfRule>
    <cfRule type="expression" dxfId="6700" priority="15726">
      <formula>IF($B36="Quoting",TRUE,FALSE)</formula>
    </cfRule>
    <cfRule type="expression" dxfId="6699" priority="15727">
      <formula>IF($B36="Quoting",TRUE,FALSE)</formula>
    </cfRule>
    <cfRule type="expression" dxfId="6698" priority="15728">
      <formula>IF($B36="Quoting",TRUE,FALSE)</formula>
    </cfRule>
    <cfRule type="expression" dxfId="6697" priority="15729">
      <formula>IF($B36="Quoting",TRUE,FALSE)</formula>
    </cfRule>
    <cfRule type="expression" dxfId="6696" priority="15730">
      <formula>IF($B36="Quoting",TRUE,FALSE)</formula>
    </cfRule>
    <cfRule type="expression" dxfId="6695" priority="15731">
      <formula>IF($B36="Quoting",TRUE,FALSE)</formula>
    </cfRule>
    <cfRule type="expression" dxfId="6694" priority="15732">
      <formula>IF($B36="Quoting",TRUE,FALSE)</formula>
    </cfRule>
    <cfRule type="expression" dxfId="6693" priority="15733">
      <formula>IF($B36="Quoting",TRUE,FALSE)</formula>
    </cfRule>
    <cfRule type="expression" dxfId="6692" priority="15734">
      <formula>IF($B36="Quoting",TRUE,FALSE)</formula>
    </cfRule>
    <cfRule type="expression" dxfId="6691" priority="15735">
      <formula>IF($B36="Quoting",TRUE,FALSE)</formula>
    </cfRule>
    <cfRule type="expression" dxfId="6690" priority="15736">
      <formula>IF($B36="Quoting",TRUE,FALSE)</formula>
    </cfRule>
    <cfRule type="expression" dxfId="6689" priority="15737">
      <formula>IF($B36="Quoting",TRUE,FALSE)</formula>
    </cfRule>
    <cfRule type="expression" dxfId="6688" priority="15738">
      <formula>IF($B36="Quoting",TRUE,FALSE)</formula>
    </cfRule>
    <cfRule type="expression" dxfId="6687" priority="15739">
      <formula>IF($B36="Quoting",TRUE,FALSE)</formula>
    </cfRule>
    <cfRule type="expression" dxfId="6686" priority="15740">
      <formula>IF($B36="Quoting",TRUE,FALSE)</formula>
    </cfRule>
    <cfRule type="expression" dxfId="6685" priority="15741">
      <formula>IF($B36="Quoting",TRUE,FALSE)</formula>
    </cfRule>
    <cfRule type="expression" dxfId="6684" priority="15742">
      <formula>IF($B36="Quoting",TRUE,FALSE)</formula>
    </cfRule>
    <cfRule type="expression" dxfId="6683" priority="15743">
      <formula>IF($B36="Quoting",TRUE,FALSE)</formula>
    </cfRule>
    <cfRule type="expression" dxfId="6682" priority="15744">
      <formula>IF($B36="Quoting",TRUE,FALSE)</formula>
    </cfRule>
    <cfRule type="expression" dxfId="6681" priority="15745">
      <formula>IF($B36="Quoting",TRUE,FALSE)</formula>
    </cfRule>
    <cfRule type="expression" dxfId="6680" priority="15746">
      <formula>IF($B36="Quoting",TRUE,FALSE)</formula>
    </cfRule>
    <cfRule type="expression" dxfId="6679" priority="15747">
      <formula>IF($B36="Quoting",TRUE,FALSE)</formula>
    </cfRule>
    <cfRule type="expression" dxfId="6678" priority="15748">
      <formula>IF($B36="Quoting",TRUE,FALSE)</formula>
    </cfRule>
    <cfRule type="expression" dxfId="6677" priority="15749">
      <formula>IF($B36="Quoting",TRUE,FALSE)</formula>
    </cfRule>
    <cfRule type="expression" dxfId="6676" priority="15750">
      <formula>IF($B36="Quoting",TRUE,FALSE)</formula>
    </cfRule>
    <cfRule type="expression" dxfId="6675" priority="15751">
      <formula>IF($B36="Quoting",TRUE,FALSE)</formula>
    </cfRule>
    <cfRule type="expression" dxfId="6674" priority="15752">
      <formula>IF($B36="Quoting",TRUE,FALSE)</formula>
    </cfRule>
    <cfRule type="expression" dxfId="6673" priority="15753">
      <formula>IF($B36="Quoting",TRUE,FALSE)</formula>
    </cfRule>
    <cfRule type="expression" dxfId="6672" priority="15754">
      <formula>IF($B36="Quoting",TRUE,FALSE)</formula>
    </cfRule>
    <cfRule type="expression" dxfId="6671" priority="15755">
      <formula>IF($B36="Quoting",TRUE,FALSE)</formula>
    </cfRule>
    <cfRule type="expression" dxfId="6670" priority="15756">
      <formula>IF($B36="Quoting",TRUE,FALSE)</formula>
    </cfRule>
    <cfRule type="expression" dxfId="6669" priority="15757">
      <formula>IF($B36="Quoting",TRUE,FALSE)</formula>
    </cfRule>
    <cfRule type="expression" dxfId="6668" priority="15758">
      <formula>IF($B36="Quoting",TRUE,FALSE)</formula>
    </cfRule>
    <cfRule type="expression" dxfId="6667" priority="15759">
      <formula>IF($B36="Quoting",TRUE,FALSE)</formula>
    </cfRule>
    <cfRule type="expression" dxfId="6666" priority="15760">
      <formula>IF($B36="Quoting",TRUE,FALSE)</formula>
    </cfRule>
    <cfRule type="expression" dxfId="6665" priority="15761">
      <formula>IF($B36="Quoting",TRUE,FALSE)</formula>
    </cfRule>
    <cfRule type="expression" dxfId="6664" priority="15762">
      <formula>IF($B36="Quoting",TRUE,FALSE)</formula>
    </cfRule>
    <cfRule type="expression" dxfId="6663" priority="15763">
      <formula>IF($B36="Quoting",TRUE,FALSE)</formula>
    </cfRule>
    <cfRule type="expression" dxfId="6662" priority="15764">
      <formula>IF($B36="Quoting",TRUE,FALSE)</formula>
    </cfRule>
    <cfRule type="expression" dxfId="6661" priority="15765">
      <formula>IF($B36="Quoting",TRUE,FALSE)</formula>
    </cfRule>
    <cfRule type="expression" dxfId="6660" priority="15766">
      <formula>IF($B36="Quoting",TRUE,FALSE)</formula>
    </cfRule>
    <cfRule type="expression" dxfId="6659" priority="15767">
      <formula>IF($B36="Quoting",TRUE,FALSE)</formula>
    </cfRule>
    <cfRule type="expression" dxfId="6658" priority="15768">
      <formula>IF($B36="Quoting",TRUE,FALSE)</formula>
    </cfRule>
    <cfRule type="expression" dxfId="6657" priority="15769">
      <formula>IF($B36="Quoting",TRUE,FALSE)</formula>
    </cfRule>
    <cfRule type="expression" dxfId="6656" priority="15770">
      <formula>IF($B36="Quoting",TRUE,FALSE)</formula>
    </cfRule>
    <cfRule type="expression" dxfId="6655" priority="15771">
      <formula>IF($B36="Quoting",TRUE,FALSE)</formula>
    </cfRule>
    <cfRule type="expression" dxfId="6654" priority="15772">
      <formula>IF($B36="Quoting",TRUE,FALSE)</formula>
    </cfRule>
    <cfRule type="expression" dxfId="6653" priority="15773">
      <formula>IF($B36="Quoting",TRUE,FALSE)</formula>
    </cfRule>
    <cfRule type="expression" dxfId="6652" priority="15774">
      <formula>IF($B36="Quoting",TRUE,FALSE)</formula>
    </cfRule>
    <cfRule type="expression" dxfId="6651" priority="15775">
      <formula>IF($B36="Quoting",TRUE,FALSE)</formula>
    </cfRule>
    <cfRule type="expression" dxfId="6650" priority="15776">
      <formula>IF($B36="Quoting",TRUE,FALSE)</formula>
    </cfRule>
    <cfRule type="expression" dxfId="6649" priority="15777">
      <formula>IF($B36="Quoting",TRUE,FALSE)</formula>
    </cfRule>
    <cfRule type="expression" dxfId="6648" priority="15778">
      <formula>IF($B36="Quoting",TRUE,FALSE)</formula>
    </cfRule>
    <cfRule type="expression" dxfId="6647" priority="15779">
      <formula>IF($B36="Quoting",TRUE,FALSE)</formula>
    </cfRule>
    <cfRule type="expression" dxfId="6646" priority="15780">
      <formula>IF($B36="Quoting",TRUE,FALSE)</formula>
    </cfRule>
    <cfRule type="expression" dxfId="6645" priority="15781">
      <formula>IF($B36="Quoting",TRUE,FALSE)</formula>
    </cfRule>
    <cfRule type="expression" dxfId="6644" priority="15782">
      <formula>IF($B36="Quoting",TRUE,FALSE)</formula>
    </cfRule>
    <cfRule type="expression" dxfId="6643" priority="15783">
      <formula>IF($B36="Quoting",TRUE,FALSE)</formula>
    </cfRule>
    <cfRule type="expression" dxfId="6642" priority="15784">
      <formula>IF($B36="Quoting",TRUE,FALSE)</formula>
    </cfRule>
    <cfRule type="expression" dxfId="6641" priority="15785">
      <formula>IF($B36="Quoting",TRUE,FALSE)</formula>
    </cfRule>
    <cfRule type="expression" dxfId="6640" priority="15786">
      <formula>IF($B36="Quoting",TRUE,FALSE)</formula>
    </cfRule>
    <cfRule type="expression" dxfId="6639" priority="15787">
      <formula>IF($B36="Quoting",TRUE,FALSE)</formula>
    </cfRule>
    <cfRule type="expression" dxfId="6638" priority="15788">
      <formula>IF($B36="Quoting",TRUE,FALSE)</formula>
    </cfRule>
    <cfRule type="expression" dxfId="6637" priority="15789">
      <formula>IF($B36="Quoting",TRUE,FALSE)</formula>
    </cfRule>
    <cfRule type="expression" dxfId="6636" priority="15790">
      <formula>IF($B36="Quoting",TRUE,FALSE)</formula>
    </cfRule>
    <cfRule type="expression" dxfId="6635" priority="15791">
      <formula>IF($B36="Quoting",TRUE,FALSE)</formula>
    </cfRule>
    <cfRule type="expression" dxfId="6634" priority="15792">
      <formula>IF($B36="Quoting",TRUE,FALSE)</formula>
    </cfRule>
    <cfRule type="expression" dxfId="6633" priority="15793">
      <formula>IF($B36="Quoting",TRUE,FALSE)</formula>
    </cfRule>
    <cfRule type="expression" dxfId="6632" priority="15794">
      <formula>IF($B36="Quoting",TRUE,FALSE)</formula>
    </cfRule>
    <cfRule type="expression" dxfId="6631" priority="15795">
      <formula>IF($B36="Quoting",TRUE,FALSE)</formula>
    </cfRule>
    <cfRule type="expression" dxfId="6630" priority="15796">
      <formula>IF($B36="Quoting",TRUE,FALSE)</formula>
    </cfRule>
    <cfRule type="expression" dxfId="6629" priority="15797">
      <formula>IF($B36="Quoting",TRUE,FALSE)</formula>
    </cfRule>
    <cfRule type="expression" dxfId="6628" priority="15798">
      <formula>IF($B36="Quoting",TRUE,FALSE)</formula>
    </cfRule>
    <cfRule type="expression" dxfId="6627" priority="15799">
      <formula>IF($B36="Quoting",TRUE,FALSE)</formula>
    </cfRule>
    <cfRule type="expression" dxfId="6626" priority="15800">
      <formula>IF($B36="Quoting",TRUE,FALSE)</formula>
    </cfRule>
    <cfRule type="expression" dxfId="6625" priority="15801">
      <formula>IF($B36="Quoting",TRUE,FALSE)</formula>
    </cfRule>
    <cfRule type="expression" dxfId="6624" priority="15802">
      <formula>IF($B36="Quoting",TRUE,FALSE)</formula>
    </cfRule>
    <cfRule type="expression" dxfId="6623" priority="15803">
      <formula>IF($B36="Quoting",TRUE,FALSE)</formula>
    </cfRule>
    <cfRule type="expression" dxfId="6622" priority="15804">
      <formula>IF($B36="Quoting",TRUE,FALSE)</formula>
    </cfRule>
    <cfRule type="expression" dxfId="6621" priority="15805">
      <formula>IF($B36="Quoting",TRUE,FALSE)</formula>
    </cfRule>
    <cfRule type="expression" dxfId="6620" priority="15806">
      <formula>IF($B36="Quoting",TRUE,FALSE)</formula>
    </cfRule>
    <cfRule type="expression" dxfId="6619" priority="15807">
      <formula>IF($B36="Quoting",TRUE,FALSE)</formula>
    </cfRule>
    <cfRule type="expression" dxfId="6618" priority="15808">
      <formula>IF($B36="Quoting",TRUE,FALSE)</formula>
    </cfRule>
    <cfRule type="expression" dxfId="6617" priority="15809">
      <formula>IF($B36="Quoting",TRUE,FALSE)</formula>
    </cfRule>
    <cfRule type="expression" dxfId="6616" priority="15810">
      <formula>IF($B36="Quoting",TRUE,FALSE)</formula>
    </cfRule>
    <cfRule type="expression" dxfId="6615" priority="15811">
      <formula>IF($B36="Quoting",TRUE,FALSE)</formula>
    </cfRule>
    <cfRule type="expression" dxfId="6614" priority="15812">
      <formula>IF($B36="Quoting",TRUE,FALSE)</formula>
    </cfRule>
    <cfRule type="expression" dxfId="6613" priority="15813">
      <formula>IF($B36="Quoting",TRUE,FALSE)</formula>
    </cfRule>
    <cfRule type="expression" dxfId="6612" priority="15814">
      <formula>IF($B36="Quoting",TRUE,FALSE)</formula>
    </cfRule>
    <cfRule type="expression" dxfId="6611" priority="15815">
      <formula>IF($B36="Quoting",TRUE,FALSE)</formula>
    </cfRule>
    <cfRule type="expression" dxfId="6610" priority="15816">
      <formula>IF($B36="Quoting",TRUE,FALSE)</formula>
    </cfRule>
    <cfRule type="expression" dxfId="6609" priority="15817">
      <formula>IF($B36="Quoting",TRUE,FALSE)</formula>
    </cfRule>
    <cfRule type="expression" dxfId="6608" priority="15818">
      <formula>IF($B36="Quoting",TRUE,FALSE)</formula>
    </cfRule>
    <cfRule type="expression" dxfId="6607" priority="15819">
      <formula>IF($B36="Quoting",TRUE,FALSE)</formula>
    </cfRule>
    <cfRule type="expression" dxfId="6606" priority="15820">
      <formula>IF($B36="Quoting",TRUE,FALSE)</formula>
    </cfRule>
    <cfRule type="expression" dxfId="6605" priority="15821">
      <formula>IF($B36="Quoting",TRUE,FALSE)</formula>
    </cfRule>
    <cfRule type="expression" dxfId="6604" priority="15822">
      <formula>IF($B36="Quoting",TRUE,FALSE)</formula>
    </cfRule>
    <cfRule type="expression" dxfId="6603" priority="15823">
      <formula>IF($B36="Quoting",TRUE,FALSE)</formula>
    </cfRule>
    <cfRule type="expression" dxfId="6602" priority="15824">
      <formula>IF($B36="Quoting",TRUE,FALSE)</formula>
    </cfRule>
    <cfRule type="expression" dxfId="6601" priority="15825">
      <formula>IF($B36="Quoting",TRUE,FALSE)</formula>
    </cfRule>
    <cfRule type="expression" dxfId="6600" priority="15826">
      <formula>IF($B36="Quoting",TRUE,FALSE)</formula>
    </cfRule>
    <cfRule type="expression" dxfId="6599" priority="15827">
      <formula>IF($B36="Quoting",TRUE,FALSE)</formula>
    </cfRule>
    <cfRule type="expression" dxfId="6598" priority="15828">
      <formula>IF($B36="Quoting",TRUE,FALSE)</formula>
    </cfRule>
    <cfRule type="expression" dxfId="6597" priority="15829">
      <formula>IF($B36="Quoting",TRUE,FALSE)</formula>
    </cfRule>
    <cfRule type="expression" dxfId="6596" priority="15830">
      <formula>IF($B36="Quoting",TRUE,FALSE)</formula>
    </cfRule>
    <cfRule type="expression" dxfId="6595" priority="15831">
      <formula>IF($B36="Quoting",TRUE,FALSE)</formula>
    </cfRule>
    <cfRule type="expression" dxfId="6594" priority="15832">
      <formula>IF($B36="Quoting",TRUE,FALSE)</formula>
    </cfRule>
    <cfRule type="expression" dxfId="6593" priority="15833">
      <formula>IF($B36="Quoting",TRUE,FALSE)</formula>
    </cfRule>
    <cfRule type="expression" dxfId="6592" priority="15834">
      <formula>IF($B36="Quoting",TRUE,FALSE)</formula>
    </cfRule>
    <cfRule type="expression" dxfId="6591" priority="15835">
      <formula>IF($B36="Quoting",TRUE,FALSE)</formula>
    </cfRule>
    <cfRule type="expression" dxfId="6590" priority="15836">
      <formula>IF($B36="Quoting",TRUE,FALSE)</formula>
    </cfRule>
    <cfRule type="expression" dxfId="6589" priority="15837">
      <formula>IF($B36="Quoting",TRUE,FALSE)</formula>
    </cfRule>
    <cfRule type="expression" dxfId="6588" priority="15838">
      <formula>IF($B36="Quoting",TRUE,FALSE)</formula>
    </cfRule>
    <cfRule type="expression" dxfId="6587" priority="15839">
      <formula>IF($B36="Quoting",TRUE,FALSE)</formula>
    </cfRule>
    <cfRule type="expression" dxfId="6586" priority="15840">
      <formula>IF($B36="Quoting",TRUE,FALSE)</formula>
    </cfRule>
    <cfRule type="expression" dxfId="6585" priority="15841">
      <formula>IF($B36="Quoting",TRUE,FALSE)</formula>
    </cfRule>
    <cfRule type="expression" dxfId="6584" priority="15842">
      <formula>IF($B36="Quoting",TRUE,FALSE)</formula>
    </cfRule>
    <cfRule type="expression" dxfId="6583" priority="15843">
      <formula>IF($B36="Quoting",TRUE,FALSE)</formula>
    </cfRule>
    <cfRule type="expression" dxfId="6582" priority="15844">
      <formula>IF($B36="Quoting",TRUE,FALSE)</formula>
    </cfRule>
    <cfRule type="expression" dxfId="6581" priority="15845">
      <formula>IF($B36="Quoting",TRUE,FALSE)</formula>
    </cfRule>
    <cfRule type="expression" dxfId="6580" priority="15846">
      <formula>IF($B36="Quoting",TRUE,FALSE)</formula>
    </cfRule>
    <cfRule type="expression" dxfId="6579" priority="15847">
      <formula>IF($B36="Quoting",TRUE,FALSE)</formula>
    </cfRule>
    <cfRule type="expression" dxfId="6578" priority="15848">
      <formula>IF($B36="Quoting",TRUE,FALSE)</formula>
    </cfRule>
    <cfRule type="expression" dxfId="6577" priority="15849">
      <formula>IF($B36="Quoting",TRUE,FALSE)</formula>
    </cfRule>
    <cfRule type="expression" dxfId="6576" priority="15850">
      <formula>IF($B36="Quoting",TRUE,FALSE)</formula>
    </cfRule>
    <cfRule type="expression" dxfId="6575" priority="15851">
      <formula>IF($B36="Quoting",TRUE,FALSE)</formula>
    </cfRule>
    <cfRule type="expression" dxfId="6574" priority="15852">
      <formula>IF($B36="Quoting",TRUE,FALSE)</formula>
    </cfRule>
    <cfRule type="expression" dxfId="6573" priority="15853">
      <formula>IF($B36="Quoting",TRUE,FALSE)</formula>
    </cfRule>
    <cfRule type="expression" dxfId="6572" priority="15854">
      <formula>IF($B36="Quoting",TRUE,FALSE)</formula>
    </cfRule>
    <cfRule type="expression" dxfId="6571" priority="15855">
      <formula>IF($B36="Quoting",TRUE,FALSE)</formula>
    </cfRule>
    <cfRule type="expression" dxfId="6570" priority="15856">
      <formula>IF($B36="Quoting",TRUE,FALSE)</formula>
    </cfRule>
    <cfRule type="expression" dxfId="6569" priority="15857">
      <formula>IF($B36="Quoting",TRUE,FALSE)</formula>
    </cfRule>
    <cfRule type="expression" dxfId="6568" priority="15858">
      <formula>IF($B36="Quoting",TRUE,FALSE)</formula>
    </cfRule>
    <cfRule type="expression" dxfId="6567" priority="15859">
      <formula>IF($B36="Quoting",TRUE,FALSE)</formula>
    </cfRule>
    <cfRule type="expression" dxfId="6566" priority="15860">
      <formula>IF($B36="Quoting",TRUE,FALSE)</formula>
    </cfRule>
    <cfRule type="expression" dxfId="6565" priority="15861">
      <formula>IF($B36="Quoting",TRUE,FALSE)</formula>
    </cfRule>
    <cfRule type="expression" dxfId="6564" priority="15862">
      <formula>IF($B36="Quoting",TRUE,FALSE)</formula>
    </cfRule>
    <cfRule type="expression" dxfId="6563" priority="15863">
      <formula>IF($B36="Quoting",TRUE,FALSE)</formula>
    </cfRule>
    <cfRule type="expression" dxfId="6562" priority="15864">
      <formula>IF($B36="Quoting",TRUE,FALSE)</formula>
    </cfRule>
    <cfRule type="expression" dxfId="6561" priority="15865">
      <formula>IF($B36="Quoting",TRUE,FALSE)</formula>
    </cfRule>
    <cfRule type="expression" dxfId="6560" priority="15866">
      <formula>IF($B36="Quoting",TRUE,FALSE)</formula>
    </cfRule>
    <cfRule type="expression" dxfId="6559" priority="15867">
      <formula>IF($B36="Quoting",TRUE,FALSE)</formula>
    </cfRule>
    <cfRule type="expression" dxfId="6558" priority="15868">
      <formula>IF($B36="Quoting",TRUE,FALSE)</formula>
    </cfRule>
    <cfRule type="expression" dxfId="6557" priority="15869">
      <formula>IF($B36="Quoting",TRUE,FALSE)</formula>
    </cfRule>
    <cfRule type="expression" dxfId="6556" priority="15870">
      <formula>IF($B36="Quoting",TRUE,FALSE)</formula>
    </cfRule>
    <cfRule type="expression" dxfId="6555" priority="15871">
      <formula>IF($B36="Quoting",TRUE,FALSE)</formula>
    </cfRule>
    <cfRule type="expression" dxfId="6554" priority="15872">
      <formula>IF($B36="Quoting",TRUE,FALSE)</formula>
    </cfRule>
    <cfRule type="expression" dxfId="6553" priority="15873">
      <formula>IF($B36="Quoting",TRUE,FALSE)</formula>
    </cfRule>
    <cfRule type="expression" dxfId="6552" priority="15874">
      <formula>IF($B36="Quoting",TRUE,FALSE)</formula>
    </cfRule>
    <cfRule type="expression" dxfId="6551" priority="15875">
      <formula>IF($B36="Quoting",TRUE,FALSE)</formula>
    </cfRule>
    <cfRule type="expression" dxfId="6550" priority="15876">
      <formula>IF($B36="Quoting",TRUE,FALSE)</formula>
    </cfRule>
    <cfRule type="expression" dxfId="6549" priority="15877">
      <formula>IF($B36="Quoting",TRUE,FALSE)</formula>
    </cfRule>
    <cfRule type="expression" dxfId="6548" priority="15878">
      <formula>IF($B36="Quoting",TRUE,FALSE)</formula>
    </cfRule>
    <cfRule type="expression" dxfId="6547" priority="15879">
      <formula>IF($B36="Quoting",TRUE,FALSE)</formula>
    </cfRule>
    <cfRule type="expression" dxfId="6546" priority="15880">
      <formula>IF($B36="Quoting",TRUE,FALSE)</formula>
    </cfRule>
    <cfRule type="expression" dxfId="6545" priority="15881">
      <formula>IF($B36="Quoting",TRUE,FALSE)</formula>
    </cfRule>
    <cfRule type="expression" dxfId="6544" priority="15882">
      <formula>IF($B36="Quoting",TRUE,FALSE)</formula>
    </cfRule>
    <cfRule type="expression" dxfId="6543" priority="15883">
      <formula>IF($B36="Quoting",TRUE,FALSE)</formula>
    </cfRule>
    <cfRule type="expression" dxfId="6542" priority="15884">
      <formula>IF($B36="Quoting",TRUE,FALSE)</formula>
    </cfRule>
    <cfRule type="expression" dxfId="6541" priority="15885">
      <formula>IF($B36="Quoting",TRUE,FALSE)</formula>
    </cfRule>
    <cfRule type="expression" dxfId="6540" priority="15886">
      <formula>IF($B36="Quoting",TRUE,FALSE)</formula>
    </cfRule>
    <cfRule type="expression" dxfId="6539" priority="15887">
      <formula>IF($B36="Quoting",TRUE,FALSE)</formula>
    </cfRule>
    <cfRule type="expression" dxfId="6538" priority="15888">
      <formula>IF($B36="Quoting",TRUE,FALSE)</formula>
    </cfRule>
    <cfRule type="expression" dxfId="6537" priority="15889">
      <formula>IF($B36="Quoting",TRUE,FALSE)</formula>
    </cfRule>
    <cfRule type="expression" dxfId="6536" priority="15890">
      <formula>IF($B36="Quoting",TRUE,FALSE)</formula>
    </cfRule>
    <cfRule type="expression" dxfId="6535" priority="15891">
      <formula>IF($B36="Quoting",TRUE,FALSE)</formula>
    </cfRule>
    <cfRule type="expression" dxfId="6534" priority="15892">
      <formula>IF($B36="Quoting",TRUE,FALSE)</formula>
    </cfRule>
    <cfRule type="expression" dxfId="6533" priority="15893">
      <formula>IF($B36="Quoting",TRUE,FALSE)</formula>
    </cfRule>
    <cfRule type="expression" dxfId="6532" priority="15894">
      <formula>IF($B36="Quoting",TRUE,FALSE)</formula>
    </cfRule>
    <cfRule type="expression" dxfId="6531" priority="15895">
      <formula>IF($B36="Quoting",TRUE,FALSE)</formula>
    </cfRule>
    <cfRule type="expression" dxfId="6530" priority="15896">
      <formula>IF($B36="Quoting",TRUE,FALSE)</formula>
    </cfRule>
    <cfRule type="expression" dxfId="6529" priority="15897">
      <formula>IF($B36="Quoting",TRUE,FALSE)</formula>
    </cfRule>
    <cfRule type="expression" dxfId="6528" priority="15898">
      <formula>IF($B36="Quoting",TRUE,FALSE)</formula>
    </cfRule>
    <cfRule type="expression" dxfId="6527" priority="15899">
      <formula>IF($B36="Quoting",TRUE,FALSE)</formula>
    </cfRule>
    <cfRule type="expression" dxfId="6526" priority="15900">
      <formula>IF($B36="Quoting",TRUE,FALSE)</formula>
    </cfRule>
    <cfRule type="expression" dxfId="6525" priority="15901">
      <formula>IF($B36="Quoting",TRUE,FALSE)</formula>
    </cfRule>
    <cfRule type="expression" dxfId="6524" priority="15902">
      <formula>IF($B36="Quoting",TRUE,FALSE)</formula>
    </cfRule>
    <cfRule type="expression" dxfId="6523" priority="15903">
      <formula>IF($B36="Quoting",TRUE,FALSE)</formula>
    </cfRule>
    <cfRule type="expression" dxfId="6522" priority="15904">
      <formula>IF($B36="Quoting",TRUE,FALSE)</formula>
    </cfRule>
    <cfRule type="expression" dxfId="6521" priority="15905">
      <formula>IF($B36="Quoting",TRUE,FALSE)</formula>
    </cfRule>
    <cfRule type="expression" dxfId="6520" priority="15906">
      <formula>IF($B36="Quoting",TRUE,FALSE)</formula>
    </cfRule>
    <cfRule type="expression" dxfId="6519" priority="15907">
      <formula>IF($B36="Quoting",TRUE,FALSE)</formula>
    </cfRule>
    <cfRule type="expression" dxfId="6518" priority="15908">
      <formula>IF($B36="Quoting",TRUE,FALSE)</formula>
    </cfRule>
    <cfRule type="expression" dxfId="6517" priority="15909">
      <formula>IF($B36="Quoting",TRUE,FALSE)</formula>
    </cfRule>
    <cfRule type="expression" dxfId="6516" priority="15910">
      <formula>IF($B36="Quoting",TRUE,FALSE)</formula>
    </cfRule>
    <cfRule type="expression" dxfId="6515" priority="15911">
      <formula>IF($B36="Quoting",TRUE,FALSE)</formula>
    </cfRule>
    <cfRule type="expression" dxfId="6514" priority="15912">
      <formula>IF($B36="Quoting",TRUE,FALSE)</formula>
    </cfRule>
    <cfRule type="expression" dxfId="6513" priority="15913">
      <formula>IF($B36="Quoting",TRUE,FALSE)</formula>
    </cfRule>
    <cfRule type="expression" dxfId="6512" priority="15914">
      <formula>IF($B36="Quoting",TRUE,FALSE)</formula>
    </cfRule>
    <cfRule type="expression" dxfId="6511" priority="15915">
      <formula>IF($B36="Quoting",TRUE,FALSE)</formula>
    </cfRule>
    <cfRule type="expression" dxfId="6510" priority="15916">
      <formula>IF($B36="Quoting",TRUE,FALSE)</formula>
    </cfRule>
    <cfRule type="expression" dxfId="6509" priority="15917">
      <formula>IF($B36="Quoting",TRUE,FALSE)</formula>
    </cfRule>
    <cfRule type="expression" dxfId="6508" priority="15918">
      <formula>IF($B36="Quoting",TRUE,FALSE)</formula>
    </cfRule>
    <cfRule type="expression" dxfId="6507" priority="15919">
      <formula>IF($B36="Quoting",TRUE,FALSE)</formula>
    </cfRule>
    <cfRule type="expression" dxfId="6506" priority="15920">
      <formula>IF($B36="Quoting",TRUE,FALSE)</formula>
    </cfRule>
    <cfRule type="expression" dxfId="6505" priority="15921">
      <formula>IF($B36="Quoting",TRUE,FALSE)</formula>
    </cfRule>
    <cfRule type="expression" dxfId="6504" priority="15922">
      <formula>IF($B36="Quoting",TRUE,FALSE)</formula>
    </cfRule>
    <cfRule type="expression" dxfId="6503" priority="15923">
      <formula>IF($B36="Quoting",TRUE,FALSE)</formula>
    </cfRule>
    <cfRule type="expression" dxfId="6502" priority="15924">
      <formula>IF($B36="Quoting",TRUE,FALSE)</formula>
    </cfRule>
    <cfRule type="expression" dxfId="6501" priority="15925">
      <formula>IF($B36="Quoting",TRUE,FALSE)</formula>
    </cfRule>
    <cfRule type="expression" dxfId="6500" priority="15926">
      <formula>IF($B36="Quoting",TRUE,FALSE)</formula>
    </cfRule>
    <cfRule type="expression" dxfId="6499" priority="15927">
      <formula>IF($B36="Quoting",TRUE,FALSE)</formula>
    </cfRule>
    <cfRule type="expression" dxfId="6498" priority="15928">
      <formula>IF($B36="Quoting",TRUE,FALSE)</formula>
    </cfRule>
    <cfRule type="expression" dxfId="6497" priority="15929">
      <formula>IF($B36="Quoting",TRUE,FALSE)</formula>
    </cfRule>
    <cfRule type="expression" dxfId="6496" priority="15930">
      <formula>IF($B36="Quoting",TRUE,FALSE)</formula>
    </cfRule>
    <cfRule type="expression" dxfId="6495" priority="15931">
      <formula>IF($B36="Quoting",TRUE,FALSE)</formula>
    </cfRule>
    <cfRule type="expression" dxfId="6494" priority="15932">
      <formula>IF($B36="Quoting",TRUE,FALSE)</formula>
    </cfRule>
    <cfRule type="expression" dxfId="6493" priority="15933">
      <formula>IF($B36="Quoting",TRUE,FALSE)</formula>
    </cfRule>
    <cfRule type="expression" dxfId="6492" priority="15934">
      <formula>IF($B36="Quoting",TRUE,FALSE)</formula>
    </cfRule>
    <cfRule type="expression" dxfId="6491" priority="15935">
      <formula>IF($B36="Quoting",TRUE,FALSE)</formula>
    </cfRule>
    <cfRule type="expression" dxfId="6490" priority="15936">
      <formula>IF($B36="Quoting",TRUE,FALSE)</formula>
    </cfRule>
    <cfRule type="expression" dxfId="6489" priority="15937">
      <formula>IF($B36="Quoting",TRUE,FALSE)</formula>
    </cfRule>
    <cfRule type="expression" dxfId="6488" priority="15938">
      <formula>IF($B36="Quoting",TRUE,FALSE)</formula>
    </cfRule>
    <cfRule type="expression" dxfId="6487" priority="15939">
      <formula>IF($B36="Quoting",TRUE,FALSE)</formula>
    </cfRule>
    <cfRule type="expression" dxfId="6486" priority="15940">
      <formula>IF($B36="Quoting",TRUE,FALSE)</formula>
    </cfRule>
    <cfRule type="expression" dxfId="6485" priority="15941">
      <formula>IF($B36="Quoting",TRUE,FALSE)</formula>
    </cfRule>
    <cfRule type="expression" dxfId="6484" priority="15942">
      <formula>IF($B36="Quoting",TRUE,FALSE)</formula>
    </cfRule>
    <cfRule type="expression" dxfId="6483" priority="15943">
      <formula>IF($B36="Quoting",TRUE,FALSE)</formula>
    </cfRule>
    <cfRule type="expression" dxfId="6482" priority="15944">
      <formula>IF($B36="Quoting",TRUE,FALSE)</formula>
    </cfRule>
    <cfRule type="expression" dxfId="6481" priority="15945">
      <formula>IF($B36="Quoting",TRUE,FALSE)</formula>
    </cfRule>
    <cfRule type="expression" dxfId="6480" priority="15946">
      <formula>IF($B36="Quoting",TRUE,FALSE)</formula>
    </cfRule>
    <cfRule type="expression" dxfId="6479" priority="15947">
      <formula>IF($B36="Quoting",TRUE,FALSE)</formula>
    </cfRule>
    <cfRule type="expression" dxfId="6478" priority="15948">
      <formula>IF($B36="Quoting",TRUE,FALSE)</formula>
    </cfRule>
    <cfRule type="expression" dxfId="6477" priority="15949">
      <formula>IF($B36="Quoting",TRUE,FALSE)</formula>
    </cfRule>
    <cfRule type="expression" dxfId="6476" priority="15950">
      <formula>IF($B36="Quoting",TRUE,FALSE)</formula>
    </cfRule>
    <cfRule type="expression" dxfId="6475" priority="15951">
      <formula>IF($B36="Quoting",TRUE,FALSE)</formula>
    </cfRule>
    <cfRule type="expression" dxfId="6474" priority="15952">
      <formula>IF($B36="Quoting",TRUE,FALSE)</formula>
    </cfRule>
    <cfRule type="expression" dxfId="6473" priority="15953">
      <formula>IF($B36="Quoting",TRUE,FALSE)</formula>
    </cfRule>
    <cfRule type="expression" dxfId="6472" priority="15954">
      <formula>IF($B36="Quoting",TRUE,FALSE)</formula>
    </cfRule>
    <cfRule type="expression" dxfId="6471" priority="15955">
      <formula>IF($B36="Quoting",TRUE,FALSE)</formula>
    </cfRule>
    <cfRule type="expression" dxfId="6470" priority="15956">
      <formula>IF($B36="Quoting",TRUE,FALSE)</formula>
    </cfRule>
    <cfRule type="expression" dxfId="6469" priority="15957">
      <formula>IF($B36="Quoting",TRUE,FALSE)</formula>
    </cfRule>
    <cfRule type="expression" dxfId="6468" priority="15958">
      <formula>IF($B36="Quoting",TRUE,FALSE)</formula>
    </cfRule>
    <cfRule type="expression" dxfId="6467" priority="15959">
      <formula>IF($B36="Quoting",TRUE,FALSE)</formula>
    </cfRule>
    <cfRule type="expression" dxfId="6466" priority="15960">
      <formula>IF($B36="Quoting",TRUE,FALSE)</formula>
    </cfRule>
    <cfRule type="expression" dxfId="6465" priority="15961">
      <formula>IF($B36="Quoting",TRUE,FALSE)</formula>
    </cfRule>
    <cfRule type="expression" dxfId="6464" priority="15962">
      <formula>IF($B36="Quoting",TRUE,FALSE)</formula>
    </cfRule>
    <cfRule type="expression" dxfId="6463" priority="15963">
      <formula>IF($B36="Quoting",TRUE,FALSE)</formula>
    </cfRule>
    <cfRule type="expression" dxfId="6462" priority="15964">
      <formula>IF($B36="Quoting",TRUE,FALSE)</formula>
    </cfRule>
    <cfRule type="expression" dxfId="6461" priority="15965">
      <formula>IF($B36="Quoting",TRUE,FALSE)</formula>
    </cfRule>
    <cfRule type="expression" dxfId="6460" priority="15966">
      <formula>IF($B36="Quoting",TRUE,FALSE)</formula>
    </cfRule>
    <cfRule type="expression" dxfId="6459" priority="15967">
      <formula>IF($B36="Quoting",TRUE,FALSE)</formula>
    </cfRule>
    <cfRule type="expression" dxfId="6458" priority="15968">
      <formula>IF($B36="Quoting",TRUE,FALSE)</formula>
    </cfRule>
    <cfRule type="expression" dxfId="6457" priority="15969">
      <formula>IF($B36="Quoting",TRUE,FALSE)</formula>
    </cfRule>
    <cfRule type="expression" dxfId="6456" priority="15970">
      <formula>IF($B36="Quoting",TRUE,FALSE)</formula>
    </cfRule>
    <cfRule type="expression" dxfId="6455" priority="15971">
      <formula>IF($B36="Quoting",TRUE,FALSE)</formula>
    </cfRule>
    <cfRule type="expression" dxfId="6454" priority="15972">
      <formula>IF($B36="Quoting",TRUE,FALSE)</formula>
    </cfRule>
    <cfRule type="expression" dxfId="6453" priority="15973">
      <formula>IF($B36="Quoting",TRUE,FALSE)</formula>
    </cfRule>
    <cfRule type="expression" dxfId="6452" priority="15974">
      <formula>IF($B36="Quoting",TRUE,FALSE)</formula>
    </cfRule>
    <cfRule type="expression" dxfId="6451" priority="15975">
      <formula>IF($B36="Quoting",TRUE,FALSE)</formula>
    </cfRule>
    <cfRule type="expression" dxfId="6450" priority="15976">
      <formula>IF($B36="Quoting",TRUE,FALSE)</formula>
    </cfRule>
    <cfRule type="expression" dxfId="6449" priority="15977">
      <formula>IF($B36="Quoting",TRUE,FALSE)</formula>
    </cfRule>
    <cfRule type="expression" dxfId="6448" priority="15978">
      <formula>IF($B36="Quoting",TRUE,FALSE)</formula>
    </cfRule>
    <cfRule type="expression" dxfId="6447" priority="15979">
      <formula>IF($B36="Quoting",TRUE,FALSE)</formula>
    </cfRule>
    <cfRule type="expression" dxfId="6446" priority="15980">
      <formula>IF($B36="Quoting",TRUE,FALSE)</formula>
    </cfRule>
    <cfRule type="expression" dxfId="6445" priority="15981">
      <formula>IF($B36="Quoting",TRUE,FALSE)</formula>
    </cfRule>
    <cfRule type="expression" dxfId="6444" priority="15982">
      <formula>IF($B36="Quoting",TRUE,FALSE)</formula>
    </cfRule>
    <cfRule type="expression" dxfId="6443" priority="15983">
      <formula>IF($B36="Quoting",TRUE,FALSE)</formula>
    </cfRule>
    <cfRule type="expression" dxfId="6442" priority="15984">
      <formula>IF($B36="Quoting",TRUE,FALSE)</formula>
    </cfRule>
    <cfRule type="expression" dxfId="6441" priority="15985">
      <formula>IF($B36="Quoting",TRUE,FALSE)</formula>
    </cfRule>
    <cfRule type="expression" dxfId="6440" priority="15986">
      <formula>IF($B36="Quoting",TRUE,FALSE)</formula>
    </cfRule>
    <cfRule type="expression" dxfId="6439" priority="15987">
      <formula>IF($B36="Quoting",TRUE,FALSE)</formula>
    </cfRule>
    <cfRule type="expression" dxfId="6438" priority="15988">
      <formula>IF($B36="Quoting",TRUE,FALSE)</formula>
    </cfRule>
    <cfRule type="expression" dxfId="6437" priority="15989">
      <formula>IF($B36="Quoting",TRUE,FALSE)</formula>
    </cfRule>
    <cfRule type="expression" dxfId="6436" priority="15990">
      <formula>IF($B36="Quoting",TRUE,FALSE)</formula>
    </cfRule>
    <cfRule type="expression" dxfId="6435" priority="15991">
      <formula>IF($B36="Quoting",TRUE,FALSE)</formula>
    </cfRule>
    <cfRule type="expression" dxfId="6434" priority="15992">
      <formula>IF($B36="Quoting",TRUE,FALSE)</formula>
    </cfRule>
    <cfRule type="expression" dxfId="6433" priority="15993">
      <formula>IF($B36="Quoting",TRUE,FALSE)</formula>
    </cfRule>
    <cfRule type="expression" dxfId="6432" priority="15994">
      <formula>IF($B36="Quoting",TRUE,FALSE)</formula>
    </cfRule>
    <cfRule type="expression" dxfId="6431" priority="15995">
      <formula>IF($B36="Quoting",TRUE,FALSE)</formula>
    </cfRule>
    <cfRule type="expression" dxfId="6430" priority="15996">
      <formula>IF($B36="Quoting",TRUE,FALSE)</formula>
    </cfRule>
    <cfRule type="expression" dxfId="6429" priority="15997">
      <formula>IF($B36="Quoting",TRUE,FALSE)</formula>
    </cfRule>
    <cfRule type="expression" dxfId="6428" priority="15998">
      <formula>IF($B36="Quoting",TRUE,FALSE)</formula>
    </cfRule>
    <cfRule type="expression" dxfId="6427" priority="15999">
      <formula>IF($B36="Quoting",TRUE,FALSE)</formula>
    </cfRule>
    <cfRule type="expression" dxfId="6426" priority="16000">
      <formula>IF($B36="Quoting",TRUE,FALSE)</formula>
    </cfRule>
    <cfRule type="expression" dxfId="6425" priority="16001">
      <formula>IF($B36="Quoting",TRUE,FALSE)</formula>
    </cfRule>
    <cfRule type="expression" dxfId="6424" priority="16002">
      <formula>IF($B36="Quoting",TRUE,FALSE)</formula>
    </cfRule>
    <cfRule type="expression" dxfId="6423" priority="16003">
      <formula>IF($B36="Quoting",TRUE,FALSE)</formula>
    </cfRule>
    <cfRule type="expression" dxfId="6422" priority="16004">
      <formula>IF($B36="Quoting",TRUE,FALSE)</formula>
    </cfRule>
    <cfRule type="expression" dxfId="6421" priority="16005">
      <formula>IF($B36="Quoting",TRUE,FALSE)</formula>
    </cfRule>
    <cfRule type="expression" dxfId="6420" priority="16006">
      <formula>IF($B36="Quoting",TRUE,FALSE)</formula>
    </cfRule>
    <cfRule type="expression" dxfId="6419" priority="16007">
      <formula>IF($B36="Quoting",TRUE,FALSE)</formula>
    </cfRule>
    <cfRule type="expression" dxfId="6418" priority="16008">
      <formula>IF($B36="Quoting",TRUE,FALSE)</formula>
    </cfRule>
    <cfRule type="expression" dxfId="6417" priority="16009">
      <formula>IF($B36="Quoting",TRUE,FALSE)</formula>
    </cfRule>
    <cfRule type="expression" dxfId="6416" priority="16010">
      <formula>IF($B36="Quoting",TRUE,FALSE)</formula>
    </cfRule>
    <cfRule type="expression" dxfId="6415" priority="16011">
      <formula>IF($B36="Quoting",TRUE,FALSE)</formula>
    </cfRule>
    <cfRule type="expression" dxfId="6414" priority="16012">
      <formula>IF($B36="Quoting",TRUE,FALSE)</formula>
    </cfRule>
    <cfRule type="expression" dxfId="6413" priority="16013">
      <formula>IF($B36="Quoting",TRUE,FALSE)</formula>
    </cfRule>
    <cfRule type="expression" dxfId="6412" priority="16014">
      <formula>IF($B36="Quoting",TRUE,FALSE)</formula>
    </cfRule>
    <cfRule type="expression" dxfId="6411" priority="16015">
      <formula>IF($B36="Quoting",TRUE,FALSE)</formula>
    </cfRule>
    <cfRule type="expression" dxfId="6410" priority="16016">
      <formula>IF($B36="Quoting",TRUE,FALSE)</formula>
    </cfRule>
    <cfRule type="expression" dxfId="6409" priority="16017">
      <formula>IF($B36="Quoting",TRUE,FALSE)</formula>
    </cfRule>
    <cfRule type="expression" dxfId="6408" priority="16018">
      <formula>IF($B36="Quoting",TRUE,FALSE)</formula>
    </cfRule>
    <cfRule type="expression" dxfId="6407" priority="16019">
      <formula>IF($B36="Quoting",TRUE,FALSE)</formula>
    </cfRule>
    <cfRule type="expression" dxfId="6406" priority="16020">
      <formula>IF($B36="Quoting",TRUE,FALSE)</formula>
    </cfRule>
    <cfRule type="expression" dxfId="6405" priority="16021">
      <formula>IF($B36="Quoting",TRUE,FALSE)</formula>
    </cfRule>
    <cfRule type="expression" dxfId="6404" priority="16022">
      <formula>IF($B36="Quoting",TRUE,FALSE)</formula>
    </cfRule>
    <cfRule type="expression" dxfId="6403" priority="16023">
      <formula>IF($B36="Quoting",TRUE,FALSE)</formula>
    </cfRule>
    <cfRule type="expression" dxfId="6402" priority="16024">
      <formula>IF($B36="Quoting",TRUE,FALSE)</formula>
    </cfRule>
    <cfRule type="expression" dxfId="6401" priority="16025">
      <formula>IF($B36="Quoting",TRUE,FALSE)</formula>
    </cfRule>
    <cfRule type="expression" dxfId="6400" priority="16026">
      <formula>IF($B36="Quoting",TRUE,FALSE)</formula>
    </cfRule>
    <cfRule type="expression" dxfId="6399" priority="16027">
      <formula>IF($B36="Quoting",TRUE,FALSE)</formula>
    </cfRule>
    <cfRule type="expression" dxfId="6398" priority="16028">
      <formula>IF($B36="Quoting",TRUE,FALSE)</formula>
    </cfRule>
    <cfRule type="expression" dxfId="6397" priority="16029">
      <formula>IF($B36="Quoting",TRUE,FALSE)</formula>
    </cfRule>
    <cfRule type="expression" dxfId="6396" priority="16030">
      <formula>IF($B36="Quoting",TRUE,FALSE)</formula>
    </cfRule>
    <cfRule type="expression" dxfId="6395" priority="16031">
      <formula>IF($B36="Quoting",TRUE,FALSE)</formula>
    </cfRule>
    <cfRule type="expression" dxfId="6394" priority="16032">
      <formula>IF($B36="Quoting",TRUE,FALSE)</formula>
    </cfRule>
    <cfRule type="expression" dxfId="6393" priority="16033">
      <formula>IF($B36="Quoting",TRUE,FALSE)</formula>
    </cfRule>
    <cfRule type="expression" dxfId="6392" priority="16034">
      <formula>IF($B36="Quoting",TRUE,FALSE)</formula>
    </cfRule>
    <cfRule type="expression" dxfId="6391" priority="16035">
      <formula>IF($B36="Quoting",TRUE,FALSE)</formula>
    </cfRule>
    <cfRule type="expression" dxfId="6390" priority="16036">
      <formula>IF($B36="Quoting",TRUE,FALSE)</formula>
    </cfRule>
    <cfRule type="expression" dxfId="6389" priority="16037">
      <formula>IF($B36="Quoting",TRUE,FALSE)</formula>
    </cfRule>
    <cfRule type="expression" dxfId="6388" priority="16038">
      <formula>IF($B36="Quoting",TRUE,FALSE)</formula>
    </cfRule>
    <cfRule type="expression" dxfId="6387" priority="16039">
      <formula>IF($B36="Quoting",TRUE,FALSE)</formula>
    </cfRule>
    <cfRule type="expression" dxfId="6386" priority="16040">
      <formula>IF($B36="Quoting",TRUE,FALSE)</formula>
    </cfRule>
    <cfRule type="expression" dxfId="6385" priority="16041">
      <formula>IF($B36="Quoting",TRUE,FALSE)</formula>
    </cfRule>
    <cfRule type="expression" dxfId="6384" priority="16042">
      <formula>IF($B36="Quoting",TRUE,FALSE)</formula>
    </cfRule>
    <cfRule type="expression" dxfId="6383" priority="16043">
      <formula>IF($B36="Quoting",TRUE,FALSE)</formula>
    </cfRule>
    <cfRule type="expression" dxfId="6382" priority="16044">
      <formula>IF($B36="Quoting",TRUE,FALSE)</formula>
    </cfRule>
    <cfRule type="expression" dxfId="6381" priority="16045">
      <formula>IF($B36="Quoting",TRUE,FALSE)</formula>
    </cfRule>
    <cfRule type="expression" dxfId="6380" priority="16046">
      <formula>IF($B36="Quoting",TRUE,FALSE)</formula>
    </cfRule>
    <cfRule type="expression" dxfId="6379" priority="16047">
      <formula>IF($B36="Quoting",TRUE,FALSE)</formula>
    </cfRule>
    <cfRule type="expression" dxfId="6378" priority="16048">
      <formula>IF($B36="Quoting",TRUE,FALSE)</formula>
    </cfRule>
    <cfRule type="expression" dxfId="6377" priority="16049">
      <formula>IF($B36="Quoting",TRUE,FALSE)</formula>
    </cfRule>
    <cfRule type="expression" dxfId="6376" priority="16050">
      <formula>IF($B36="Quoting",TRUE,FALSE)</formula>
    </cfRule>
    <cfRule type="expression" dxfId="6375" priority="16051">
      <formula>IF($B36="Quoting",TRUE,FALSE)</formula>
    </cfRule>
    <cfRule type="expression" dxfId="6374" priority="16052">
      <formula>IF($B36="Quoting",TRUE,FALSE)</formula>
    </cfRule>
    <cfRule type="expression" dxfId="6373" priority="16053">
      <formula>IF($B36="Quoting",TRUE,FALSE)</formula>
    </cfRule>
    <cfRule type="expression" dxfId="6372" priority="16054">
      <formula>IF($B36="Quoting",TRUE,FALSE)</formula>
    </cfRule>
    <cfRule type="expression" dxfId="6371" priority="16055">
      <formula>IF($B36="Quoting",TRUE,FALSE)</formula>
    </cfRule>
    <cfRule type="expression" dxfId="6370" priority="16056">
      <formula>IF($B36="Quoting",TRUE,FALSE)</formula>
    </cfRule>
    <cfRule type="expression" dxfId="6369" priority="16057">
      <formula>IF($B36="Quoting",TRUE,FALSE)</formula>
    </cfRule>
    <cfRule type="expression" dxfId="6368" priority="16058">
      <formula>IF($B36="Quoting",TRUE,FALSE)</formula>
    </cfRule>
    <cfRule type="expression" dxfId="6367" priority="16059">
      <formula>IF($B36="Quoting",TRUE,FALSE)</formula>
    </cfRule>
    <cfRule type="expression" dxfId="6366" priority="16060">
      <formula>IF($B36="Quoting",TRUE,FALSE)</formula>
    </cfRule>
    <cfRule type="expression" dxfId="6365" priority="16061">
      <formula>IF($B36="Quoting",TRUE,FALSE)</formula>
    </cfRule>
    <cfRule type="expression" dxfId="6364" priority="16062">
      <formula>IF($B36="Quoting",TRUE,FALSE)</formula>
    </cfRule>
    <cfRule type="expression" dxfId="6363" priority="16063">
      <formula>IF($B36="Quoting",TRUE,FALSE)</formula>
    </cfRule>
    <cfRule type="expression" dxfId="6362" priority="16064">
      <formula>IF($B36="Quoting",TRUE,FALSE)</formula>
    </cfRule>
    <cfRule type="expression" dxfId="6361" priority="16065">
      <formula>IF($B36="Quoting",TRUE,FALSE)</formula>
    </cfRule>
    <cfRule type="expression" dxfId="6360" priority="16066">
      <formula>IF($B36="Quoting",TRUE,FALSE)</formula>
    </cfRule>
    <cfRule type="expression" dxfId="6359" priority="16067">
      <formula>IF($B36="Quoting",TRUE,FALSE)</formula>
    </cfRule>
    <cfRule type="expression" dxfId="6358" priority="16068">
      <formula>IF($B36="Quoting",TRUE,FALSE)</formula>
    </cfRule>
    <cfRule type="expression" dxfId="6357" priority="16069">
      <formula>IF($B36="Quoting",TRUE,FALSE)</formula>
    </cfRule>
    <cfRule type="expression" dxfId="6356" priority="16070">
      <formula>IF($B36="Quoting",TRUE,FALSE)</formula>
    </cfRule>
    <cfRule type="expression" dxfId="6355" priority="16071">
      <formula>IF($B36="Quoting",TRUE,FALSE)</formula>
    </cfRule>
    <cfRule type="expression" dxfId="6354" priority="16072">
      <formula>IF($B36="Quoting",TRUE,FALSE)</formula>
    </cfRule>
    <cfRule type="expression" dxfId="6353" priority="16073">
      <formula>IF($B36="Quoting",TRUE,FALSE)</formula>
    </cfRule>
    <cfRule type="expression" dxfId="6352" priority="16074">
      <formula>IF($B36="Quoting",TRUE,FALSE)</formula>
    </cfRule>
    <cfRule type="expression" dxfId="6351" priority="16075">
      <formula>IF($B36="Quoting",TRUE,FALSE)</formula>
    </cfRule>
    <cfRule type="expression" dxfId="6350" priority="16076">
      <formula>IF($B36="Quoting",TRUE,FALSE)</formula>
    </cfRule>
    <cfRule type="expression" dxfId="6349" priority="16077">
      <formula>IF($B36="Quoting",TRUE,FALSE)</formula>
    </cfRule>
    <cfRule type="expression" dxfId="6348" priority="16078">
      <formula>IF($B36="Quoting",TRUE,FALSE)</formula>
    </cfRule>
    <cfRule type="expression" dxfId="6347" priority="16079">
      <formula>IF($B36="Quoting",TRUE,FALSE)</formula>
    </cfRule>
    <cfRule type="expression" dxfId="6346" priority="16080">
      <formula>IF($B36="Quoting",TRUE,FALSE)</formula>
    </cfRule>
    <cfRule type="expression" dxfId="6345" priority="16081">
      <formula>IF($B36="Quoting",TRUE,FALSE)</formula>
    </cfRule>
    <cfRule type="expression" dxfId="6344" priority="16082">
      <formula>IF($B36="Quoting",TRUE,FALSE)</formula>
    </cfRule>
    <cfRule type="expression" dxfId="6343" priority="16083">
      <formula>IF($B36="Quoting",TRUE,FALSE)</formula>
    </cfRule>
    <cfRule type="expression" dxfId="6342" priority="16084">
      <formula>IF($B36="Quoting",TRUE,FALSE)</formula>
    </cfRule>
    <cfRule type="expression" dxfId="6341" priority="16085">
      <formula>IF($B36="Quoting",TRUE,FALSE)</formula>
    </cfRule>
    <cfRule type="expression" dxfId="6340" priority="16086">
      <formula>IF($B36="Quoting",TRUE,FALSE)</formula>
    </cfRule>
    <cfRule type="expression" dxfId="6339" priority="16087">
      <formula>IF($B36="Quoting",TRUE,FALSE)</formula>
    </cfRule>
    <cfRule type="expression" dxfId="6338" priority="16088">
      <formula>IF($B36="Quoting",TRUE,FALSE)</formula>
    </cfRule>
    <cfRule type="expression" dxfId="6337" priority="16089">
      <formula>IF($B36="Quoting",TRUE,FALSE)</formula>
    </cfRule>
    <cfRule type="expression" dxfId="6336" priority="16090">
      <formula>IF($B36="Quoting",TRUE,FALSE)</formula>
    </cfRule>
    <cfRule type="expression" dxfId="6335" priority="16091">
      <formula>IF($B36="Quoting",TRUE,FALSE)</formula>
    </cfRule>
    <cfRule type="expression" dxfId="6334" priority="16092">
      <formula>IF($B36="Quoting",TRUE,FALSE)</formula>
    </cfRule>
    <cfRule type="expression" dxfId="6333" priority="16093">
      <formula>IF($B36="Quoting",TRUE,FALSE)</formula>
    </cfRule>
    <cfRule type="expression" dxfId="6332" priority="16094">
      <formula>IF($B36="Quoting",TRUE,FALSE)</formula>
    </cfRule>
    <cfRule type="expression" dxfId="6331" priority="16095">
      <formula>IF($B36="Quoting",TRUE,FALSE)</formula>
    </cfRule>
    <cfRule type="expression" dxfId="6330" priority="16096">
      <formula>IF($B36="Quoting",TRUE,FALSE)</formula>
    </cfRule>
    <cfRule type="expression" dxfId="6329" priority="16097">
      <formula>IF($B36="Quoting",TRUE,FALSE)</formula>
    </cfRule>
    <cfRule type="expression" dxfId="6328" priority="16098">
      <formula>IF($B36="Quoting",TRUE,FALSE)</formula>
    </cfRule>
    <cfRule type="expression" dxfId="6327" priority="16099">
      <formula>IF($B36="Quoting",TRUE,FALSE)</formula>
    </cfRule>
    <cfRule type="expression" dxfId="6326" priority="16100">
      <formula>IF($B36="Quoting",TRUE,FALSE)</formula>
    </cfRule>
    <cfRule type="expression" dxfId="6325" priority="16101">
      <formula>IF($B36="Quoting",TRUE,FALSE)</formula>
    </cfRule>
    <cfRule type="expression" dxfId="6324" priority="16102">
      <formula>IF($B36="Quoting",TRUE,FALSE)</formula>
    </cfRule>
    <cfRule type="expression" dxfId="6323" priority="16103">
      <formula>IF($B36="Quoting",TRUE,FALSE)</formula>
    </cfRule>
    <cfRule type="expression" dxfId="6322" priority="16104">
      <formula>IF($B36="Quoting",TRUE,FALSE)</formula>
    </cfRule>
    <cfRule type="expression" dxfId="6321" priority="16105">
      <formula>IF($B36="Quoting",TRUE,FALSE)</formula>
    </cfRule>
    <cfRule type="expression" dxfId="6320" priority="16106">
      <formula>IF($B36="Quoting",TRUE,FALSE)</formula>
    </cfRule>
    <cfRule type="expression" dxfId="6319" priority="16107">
      <formula>IF($B36="Quoting",TRUE,FALSE)</formula>
    </cfRule>
    <cfRule type="expression" dxfId="6318" priority="16108">
      <formula>IF($B36="Quoting",TRUE,FALSE)</formula>
    </cfRule>
    <cfRule type="expression" dxfId="6317" priority="16109">
      <formula>IF($B36="Quoting",TRUE,FALSE)</formula>
    </cfRule>
    <cfRule type="expression" dxfId="6316" priority="16110">
      <formula>IF($B36="Quoting",TRUE,FALSE)</formula>
    </cfRule>
    <cfRule type="expression" dxfId="6315" priority="16111">
      <formula>IF($B36="Quoting",TRUE,FALSE)</formula>
    </cfRule>
    <cfRule type="expression" dxfId="6314" priority="16112">
      <formula>IF($B36="Quoting",TRUE,FALSE)</formula>
    </cfRule>
    <cfRule type="expression" dxfId="6313" priority="16113">
      <formula>IF($B36="Quoting",TRUE,FALSE)</formula>
    </cfRule>
    <cfRule type="expression" dxfId="6312" priority="16114">
      <formula>IF($B36="Quoting",TRUE,FALSE)</formula>
    </cfRule>
    <cfRule type="expression" dxfId="6311" priority="16115">
      <formula>IF($B36="Quoting",TRUE,FALSE)</formula>
    </cfRule>
    <cfRule type="expression" dxfId="6310" priority="16116">
      <formula>IF($B36="Quoting",TRUE,FALSE)</formula>
    </cfRule>
    <cfRule type="expression" dxfId="6309" priority="16117">
      <formula>IF($B36="Quoting",TRUE,FALSE)</formula>
    </cfRule>
    <cfRule type="expression" dxfId="6308" priority="16118">
      <formula>IF($B36="Quoting",TRUE,FALSE)</formula>
    </cfRule>
    <cfRule type="expression" dxfId="6307" priority="16119">
      <formula>IF($B36="Quoting",TRUE,FALSE)</formula>
    </cfRule>
    <cfRule type="expression" dxfId="6306" priority="16120">
      <formula>IF($B36="Quoting",TRUE,FALSE)</formula>
    </cfRule>
    <cfRule type="expression" dxfId="6305" priority="16121">
      <formula>IF($B36="Quoting",TRUE,FALSE)</formula>
    </cfRule>
    <cfRule type="expression" dxfId="6304" priority="16122">
      <formula>IF($B36="Quoting",TRUE,FALSE)</formula>
    </cfRule>
    <cfRule type="expression" dxfId="6303" priority="16123">
      <formula>IF($B36="Quoting",TRUE,FALSE)</formula>
    </cfRule>
    <cfRule type="expression" dxfId="6302" priority="16124">
      <formula>IF($B36="Quoting",TRUE,FALSE)</formula>
    </cfRule>
    <cfRule type="expression" dxfId="6301" priority="16125">
      <formula>IF($B36="Quoting",TRUE,FALSE)</formula>
    </cfRule>
    <cfRule type="expression" dxfId="6300" priority="16126">
      <formula>IF($B36="Quoting",TRUE,FALSE)</formula>
    </cfRule>
    <cfRule type="expression" dxfId="6299" priority="16127">
      <formula>IF($B36="Quoting",TRUE,FALSE)</formula>
    </cfRule>
    <cfRule type="expression" dxfId="6298" priority="16128">
      <formula>IF($B36="Quoting",TRUE,FALSE)</formula>
    </cfRule>
    <cfRule type="expression" dxfId="6297" priority="16129">
      <formula>IF($B36="Quoting",TRUE,FALSE)</formula>
    </cfRule>
    <cfRule type="expression" dxfId="6296" priority="16130">
      <formula>IF($B36="Quoting",TRUE,FALSE)</formula>
    </cfRule>
    <cfRule type="expression" dxfId="6295" priority="16131">
      <formula>IF($B36="Quoting",TRUE,FALSE)</formula>
    </cfRule>
    <cfRule type="expression" dxfId="6294" priority="16132">
      <formula>IF($B36="Quoting",TRUE,FALSE)</formula>
    </cfRule>
    <cfRule type="expression" dxfId="6293" priority="16133">
      <formula>IF($B36="Quoting",TRUE,FALSE)</formula>
    </cfRule>
    <cfRule type="expression" dxfId="6292" priority="16134">
      <formula>IF($B36="Quoting",TRUE,FALSE)</formula>
    </cfRule>
    <cfRule type="expression" dxfId="6291" priority="16135">
      <formula>IF($B36="Quoting",TRUE,FALSE)</formula>
    </cfRule>
    <cfRule type="expression" dxfId="6290" priority="16136">
      <formula>IF($B36="Quoting",TRUE,FALSE)</formula>
    </cfRule>
    <cfRule type="expression" dxfId="6289" priority="16137">
      <formula>IF($B36="Quoting",TRUE,FALSE)</formula>
    </cfRule>
    <cfRule type="expression" dxfId="6288" priority="16138">
      <formula>IF($B36="Quoting",TRUE,FALSE)</formula>
    </cfRule>
    <cfRule type="expression" dxfId="6287" priority="16139">
      <formula>IF($B36="Quoting",TRUE,FALSE)</formula>
    </cfRule>
    <cfRule type="expression" dxfId="6286" priority="16140">
      <formula>IF($B36="Quoting",TRUE,FALSE)</formula>
    </cfRule>
    <cfRule type="expression" dxfId="6285" priority="16141">
      <formula>IF($B36="Quoting",TRUE,FALSE)</formula>
    </cfRule>
    <cfRule type="expression" dxfId="6284" priority="16142">
      <formula>IF($B36="Quoting",TRUE,FALSE)</formula>
    </cfRule>
    <cfRule type="expression" dxfId="6283" priority="16143">
      <formula>IF($B36="Quoting",TRUE,FALSE)</formula>
    </cfRule>
    <cfRule type="expression" dxfId="6282" priority="16144">
      <formula>IF($B36="Quoting",TRUE,FALSE)</formula>
    </cfRule>
    <cfRule type="expression" dxfId="6281" priority="16145">
      <formula>IF($B36="Quoting",TRUE,FALSE)</formula>
    </cfRule>
    <cfRule type="expression" dxfId="6280" priority="16146">
      <formula>IF($B36="Quoting",TRUE,FALSE)</formula>
    </cfRule>
    <cfRule type="expression" dxfId="6279" priority="16147">
      <formula>IF($B36="Quoting",TRUE,FALSE)</formula>
    </cfRule>
    <cfRule type="expression" dxfId="6278" priority="16148">
      <formula>IF($B36="Quoting",TRUE,FALSE)</formula>
    </cfRule>
    <cfRule type="expression" dxfId="6277" priority="16149">
      <formula>IF($B36="Quoting",TRUE,FALSE)</formula>
    </cfRule>
    <cfRule type="expression" dxfId="6276" priority="16150">
      <formula>IF($B36="Quoting",TRUE,FALSE)</formula>
    </cfRule>
    <cfRule type="expression" dxfId="6275" priority="16151">
      <formula>IF($B36="Quoting",TRUE,FALSE)</formula>
    </cfRule>
    <cfRule type="expression" dxfId="6274" priority="16152">
      <formula>IF($B36="Quoting",TRUE,FALSE)</formula>
    </cfRule>
    <cfRule type="expression" dxfId="6273" priority="16153">
      <formula>IF($B36="Quoting",TRUE,FALSE)</formula>
    </cfRule>
    <cfRule type="expression" dxfId="6272" priority="16154">
      <formula>IF($B36="Quoting",TRUE,FALSE)</formula>
    </cfRule>
    <cfRule type="expression" dxfId="6271" priority="16155">
      <formula>IF($B36="Quoting",TRUE,FALSE)</formula>
    </cfRule>
  </conditionalFormatting>
  <conditionalFormatting sqref="G37">
    <cfRule type="expression" dxfId="6270" priority="2070">
      <formula>IF($B37="Quoting",TRUE,FALSE)</formula>
    </cfRule>
    <cfRule type="expression" dxfId="6269" priority="2071">
      <formula>IF($B37="Quoting",TRUE,FALSE)</formula>
    </cfRule>
    <cfRule type="expression" dxfId="6268" priority="2072">
      <formula>IF($B37="Quoting",TRUE,FALSE)</formula>
    </cfRule>
    <cfRule type="expression" dxfId="6267" priority="2073">
      <formula>IF($B37="Quoting",TRUE,FALSE)</formula>
    </cfRule>
    <cfRule type="expression" dxfId="6266" priority="2074">
      <formula>IF($B37="Quoting",TRUE,FALSE)</formula>
    </cfRule>
    <cfRule type="expression" dxfId="6265" priority="2075">
      <formula>IF($B37="Quoting",TRUE,FALSE)</formula>
    </cfRule>
    <cfRule type="expression" dxfId="6264" priority="2076">
      <formula>IF($B37="Quoting",TRUE,FALSE)</formula>
    </cfRule>
    <cfRule type="expression" dxfId="6263" priority="2077">
      <formula>IF($B37="Quoting",TRUE,FALSE)</formula>
    </cfRule>
    <cfRule type="expression" dxfId="6262" priority="2078">
      <formula>IF($B37="Quoting",TRUE,FALSE)</formula>
    </cfRule>
    <cfRule type="expression" dxfId="6261" priority="2079">
      <formula>IF($B37="Quoting",TRUE,FALSE)</formula>
    </cfRule>
    <cfRule type="expression" dxfId="6260" priority="2080">
      <formula>IF($B37="Quoting",TRUE,FALSE)</formula>
    </cfRule>
    <cfRule type="expression" dxfId="6259" priority="2081">
      <formula>IF($B37="Quoting",TRUE,FALSE)</formula>
    </cfRule>
    <cfRule type="expression" dxfId="6258" priority="2082">
      <formula>IF($B37="Quoting",TRUE,FALSE)</formula>
    </cfRule>
    <cfRule type="expression" dxfId="6257" priority="2083">
      <formula>IF($B37="Quoting",TRUE,FALSE)</formula>
    </cfRule>
    <cfRule type="expression" dxfId="6256" priority="2084">
      <formula>IF($B37="Quoting",TRUE,FALSE)</formula>
    </cfRule>
    <cfRule type="expression" dxfId="6255" priority="2085">
      <formula>IF($B37="Quoting",TRUE,FALSE)</formula>
    </cfRule>
    <cfRule type="expression" dxfId="6254" priority="2086">
      <formula>IF($B37="Quoting",TRUE,FALSE)</formula>
    </cfRule>
    <cfRule type="expression" dxfId="6253" priority="2087">
      <formula>IF($B37="Quoting",TRUE,FALSE)</formula>
    </cfRule>
    <cfRule type="expression" dxfId="6252" priority="2088">
      <formula>IF($B37="Quoting",TRUE,FALSE)</formula>
    </cfRule>
    <cfRule type="expression" dxfId="6251" priority="2089">
      <formula>IF($B37="Quoting",TRUE,FALSE)</formula>
    </cfRule>
    <cfRule type="expression" dxfId="6250" priority="2090">
      <formula>IF($B37="Quoting",TRUE,FALSE)</formula>
    </cfRule>
    <cfRule type="expression" dxfId="6249" priority="2091">
      <formula>IF($B37="Quoting",TRUE,FALSE)</formula>
    </cfRule>
    <cfRule type="expression" dxfId="6248" priority="2092">
      <formula>IF($B37="Quoting",TRUE,FALSE)</formula>
    </cfRule>
    <cfRule type="expression" dxfId="6247" priority="2093">
      <formula>IF($B37="Quoting",TRUE,FALSE)</formula>
    </cfRule>
    <cfRule type="expression" dxfId="6246" priority="2094">
      <formula>IF($B37="Quoting",TRUE,FALSE)</formula>
    </cfRule>
    <cfRule type="expression" dxfId="6245" priority="2095">
      <formula>IF($B37="Quoting",TRUE,FALSE)</formula>
    </cfRule>
    <cfRule type="expression" dxfId="6244" priority="2096">
      <formula>IF($B37="Quoting",TRUE,FALSE)</formula>
    </cfRule>
    <cfRule type="expression" dxfId="6243" priority="2097">
      <formula>IF($B37="Quoting",TRUE,FALSE)</formula>
    </cfRule>
    <cfRule type="expression" dxfId="6242" priority="2098">
      <formula>IF($B37="Quoting",TRUE,FALSE)</formula>
    </cfRule>
    <cfRule type="expression" dxfId="6241" priority="2099">
      <formula>IF($B37="Quoting",TRUE,FALSE)</formula>
    </cfRule>
    <cfRule type="expression" dxfId="6240" priority="2100">
      <formula>IF($B37="Quoting",TRUE,FALSE)</formula>
    </cfRule>
    <cfRule type="expression" dxfId="6239" priority="2101">
      <formula>IF($B37="Quoting",TRUE,FALSE)</formula>
    </cfRule>
    <cfRule type="expression" dxfId="6238" priority="2102">
      <formula>IF($B37="Quoting",TRUE,FALSE)</formula>
    </cfRule>
    <cfRule type="expression" dxfId="6237" priority="2103">
      <formula>IF($B37="Quoting",TRUE,FALSE)</formula>
    </cfRule>
    <cfRule type="expression" dxfId="6236" priority="2104">
      <formula>IF($B37="Quoting",TRUE,FALSE)</formula>
    </cfRule>
    <cfRule type="expression" dxfId="6235" priority="2105">
      <formula>IF($B37="Quoting",TRUE,FALSE)</formula>
    </cfRule>
    <cfRule type="expression" dxfId="6234" priority="2106">
      <formula>IF($B37="Quoting",TRUE,FALSE)</formula>
    </cfRule>
    <cfRule type="expression" dxfId="6233" priority="2107">
      <formula>IF($B37="Quoting",TRUE,FALSE)</formula>
    </cfRule>
    <cfRule type="expression" dxfId="6232" priority="2108">
      <formula>IF($B37="Quoting",TRUE,FALSE)</formula>
    </cfRule>
    <cfRule type="expression" dxfId="6231" priority="2109">
      <formula>IF($B37="Quoting",TRUE,FALSE)</formula>
    </cfRule>
    <cfRule type="expression" dxfId="6230" priority="2110">
      <formula>IF($B37="Quoting",TRUE,FALSE)</formula>
    </cfRule>
    <cfRule type="expression" dxfId="6229" priority="2111">
      <formula>IF($B37="Quoting",TRUE,FALSE)</formula>
    </cfRule>
    <cfRule type="expression" dxfId="6228" priority="2112">
      <formula>IF($B37="Quoting",TRUE,FALSE)</formula>
    </cfRule>
    <cfRule type="expression" dxfId="6227" priority="2113">
      <formula>IF($B37="Quoting",TRUE,FALSE)</formula>
    </cfRule>
    <cfRule type="expression" dxfId="6226" priority="2114">
      <formula>IF($B37="Quoting",TRUE,FALSE)</formula>
    </cfRule>
    <cfRule type="expression" dxfId="6225" priority="2115">
      <formula>IF($B37="Quoting",TRUE,FALSE)</formula>
    </cfRule>
    <cfRule type="expression" dxfId="6224" priority="2116">
      <formula>IF($B37="Quoting",TRUE,FALSE)</formula>
    </cfRule>
    <cfRule type="expression" dxfId="6223" priority="2117">
      <formula>IF($B37="Quoting",TRUE,FALSE)</formula>
    </cfRule>
    <cfRule type="expression" dxfId="6222" priority="2118">
      <formula>IF($B37="Quoting",TRUE,FALSE)</formula>
    </cfRule>
    <cfRule type="expression" dxfId="6221" priority="2119">
      <formula>IF($B37="Quoting",TRUE,FALSE)</formula>
    </cfRule>
    <cfRule type="expression" dxfId="6220" priority="2120">
      <formula>IF($B37="Quoting",TRUE,FALSE)</formula>
    </cfRule>
    <cfRule type="expression" dxfId="6219" priority="2121">
      <formula>IF($B37="Quoting",TRUE,FALSE)</formula>
    </cfRule>
    <cfRule type="expression" dxfId="6218" priority="2122">
      <formula>IF($B37="Quoting",TRUE,FALSE)</formula>
    </cfRule>
    <cfRule type="expression" dxfId="6217" priority="2123">
      <formula>IF($B37="Quoting",TRUE,FALSE)</formula>
    </cfRule>
    <cfRule type="expression" dxfId="6216" priority="2124">
      <formula>IF($B37="Quoting",TRUE,FALSE)</formula>
    </cfRule>
    <cfRule type="expression" dxfId="6215" priority="2125">
      <formula>IF($B37="Quoting",TRUE,FALSE)</formula>
    </cfRule>
    <cfRule type="expression" dxfId="6214" priority="2126">
      <formula>IF($B37="Quoting",TRUE,FALSE)</formula>
    </cfRule>
    <cfRule type="expression" dxfId="6213" priority="2127">
      <formula>IF($B37="Quoting",TRUE,FALSE)</formula>
    </cfRule>
    <cfRule type="expression" dxfId="6212" priority="2128">
      <formula>IF($B37="Quoting",TRUE,FALSE)</formula>
    </cfRule>
    <cfRule type="expression" dxfId="6211" priority="2129">
      <formula>IF($B37="Quoting",TRUE,FALSE)</formula>
    </cfRule>
    <cfRule type="expression" dxfId="6210" priority="2130">
      <formula>IF($B37="Quoting",TRUE,FALSE)</formula>
    </cfRule>
    <cfRule type="expression" dxfId="6209" priority="2131">
      <formula>IF($B37="Quoting",TRUE,FALSE)</formula>
    </cfRule>
    <cfRule type="expression" dxfId="6208" priority="2132">
      <formula>IF($B37="Quoting",TRUE,FALSE)</formula>
    </cfRule>
    <cfRule type="expression" dxfId="6207" priority="2133">
      <formula>IF($B37="Quoting",TRUE,FALSE)</formula>
    </cfRule>
    <cfRule type="expression" dxfId="6206" priority="2134">
      <formula>IF($B37="Quoting",TRUE,FALSE)</formula>
    </cfRule>
    <cfRule type="expression" dxfId="6205" priority="2135">
      <formula>IF($B37="Quoting",TRUE,FALSE)</formula>
    </cfRule>
    <cfRule type="expression" dxfId="6204" priority="2136">
      <formula>IF($B37="Quoting",TRUE,FALSE)</formula>
    </cfRule>
    <cfRule type="expression" dxfId="6203" priority="2137">
      <formula>IF($B37="Quoting",TRUE,FALSE)</formula>
    </cfRule>
    <cfRule type="expression" dxfId="6202" priority="2138">
      <formula>IF($B37="Quoting",TRUE,FALSE)</formula>
    </cfRule>
    <cfRule type="expression" dxfId="6201" priority="2139">
      <formula>IF($B37="Quoting",TRUE,FALSE)</formula>
    </cfRule>
    <cfRule type="expression" dxfId="6200" priority="2140">
      <formula>IF($B37="Quoting",TRUE,FALSE)</formula>
    </cfRule>
    <cfRule type="expression" dxfId="6199" priority="2141">
      <formula>IF($B37="Quoting",TRUE,FALSE)</formula>
    </cfRule>
    <cfRule type="expression" dxfId="6198" priority="2142">
      <formula>IF($B37="Quoting",TRUE,FALSE)</formula>
    </cfRule>
    <cfRule type="expression" dxfId="6197" priority="2143">
      <formula>IF($B37="Quoting",TRUE,FALSE)</formula>
    </cfRule>
    <cfRule type="expression" dxfId="6196" priority="2144">
      <formula>IF($B37="Quoting",TRUE,FALSE)</formula>
    </cfRule>
    <cfRule type="expression" dxfId="6195" priority="2145">
      <formula>IF($B37="Quoting",TRUE,FALSE)</formula>
    </cfRule>
    <cfRule type="expression" dxfId="6194" priority="2146">
      <formula>IF($B37="Quoting",TRUE,FALSE)</formula>
    </cfRule>
    <cfRule type="expression" dxfId="6193" priority="2147">
      <formula>IF($B37="Quoting",TRUE,FALSE)</formula>
    </cfRule>
    <cfRule type="expression" dxfId="6192" priority="2148">
      <formula>IF($B37="Quoting",TRUE,FALSE)</formula>
    </cfRule>
    <cfRule type="expression" dxfId="6191" priority="2149">
      <formula>IF($B37="Quoting",TRUE,FALSE)</formula>
    </cfRule>
    <cfRule type="expression" dxfId="6190" priority="2150">
      <formula>IF($B37="Quoting",TRUE,FALSE)</formula>
    </cfRule>
    <cfRule type="expression" dxfId="6189" priority="2151">
      <formula>IF($B37="Quoting",TRUE,FALSE)</formula>
    </cfRule>
    <cfRule type="expression" dxfId="6188" priority="2152">
      <formula>IF($B37="Quoting",TRUE,FALSE)</formula>
    </cfRule>
    <cfRule type="expression" dxfId="6187" priority="2153">
      <formula>IF($B37="Quoting",TRUE,FALSE)</formula>
    </cfRule>
    <cfRule type="expression" dxfId="6186" priority="2154">
      <formula>IF($B37="Quoting",TRUE,FALSE)</formula>
    </cfRule>
    <cfRule type="expression" dxfId="6185" priority="2155">
      <formula>IF($B37="Quoting",TRUE,FALSE)</formula>
    </cfRule>
    <cfRule type="expression" dxfId="6184" priority="2156">
      <formula>IF($B37="Quoting",TRUE,FALSE)</formula>
    </cfRule>
    <cfRule type="expression" dxfId="6183" priority="2157">
      <formula>IF($B37="Quoting",TRUE,FALSE)</formula>
    </cfRule>
    <cfRule type="expression" dxfId="6182" priority="2158">
      <formula>IF($B37="Quoting",TRUE,FALSE)</formula>
    </cfRule>
    <cfRule type="expression" dxfId="6181" priority="2159">
      <formula>IF($B37="Quoting",TRUE,FALSE)</formula>
    </cfRule>
    <cfRule type="expression" dxfId="6180" priority="2160">
      <formula>IF($B37="Quoting",TRUE,FALSE)</formula>
    </cfRule>
    <cfRule type="expression" dxfId="6179" priority="2161">
      <formula>IF($B37="Quoting",TRUE,FALSE)</formula>
    </cfRule>
    <cfRule type="expression" dxfId="6178" priority="2162">
      <formula>IF($B37="Quoting",TRUE,FALSE)</formula>
    </cfRule>
    <cfRule type="expression" dxfId="6177" priority="2163">
      <formula>IF($B37="Quoting",TRUE,FALSE)</formula>
    </cfRule>
    <cfRule type="expression" dxfId="6176" priority="2164">
      <formula>IF($B37="Quoting",TRUE,FALSE)</formula>
    </cfRule>
    <cfRule type="expression" dxfId="6175" priority="2165">
      <formula>IF($B37="Quoting",TRUE,FALSE)</formula>
    </cfRule>
    <cfRule type="expression" dxfId="6174" priority="2166">
      <formula>IF($B37="Quoting",TRUE,FALSE)</formula>
    </cfRule>
    <cfRule type="expression" dxfId="6173" priority="2167">
      <formula>IF($B37="Quoting",TRUE,FALSE)</formula>
    </cfRule>
    <cfRule type="expression" dxfId="6172" priority="2168">
      <formula>IF($B37="Quoting",TRUE,FALSE)</formula>
    </cfRule>
    <cfRule type="expression" dxfId="6171" priority="2169">
      <formula>IF($B37="Quoting",TRUE,FALSE)</formula>
    </cfRule>
    <cfRule type="expression" dxfId="6170" priority="2170">
      <formula>IF($B37="Quoting",TRUE,FALSE)</formula>
    </cfRule>
    <cfRule type="expression" dxfId="6169" priority="2171">
      <formula>IF($B37="Quoting",TRUE,FALSE)</formula>
    </cfRule>
    <cfRule type="expression" dxfId="6168" priority="2172">
      <formula>IF($B37="Quoting",TRUE,FALSE)</formula>
    </cfRule>
    <cfRule type="expression" dxfId="6167" priority="2173">
      <formula>IF($B37="Quoting",TRUE,FALSE)</formula>
    </cfRule>
    <cfRule type="expression" dxfId="6166" priority="2174">
      <formula>IF($B37="Quoting",TRUE,FALSE)</formula>
    </cfRule>
    <cfRule type="expression" dxfId="6165" priority="2175">
      <formula>IF($B37="Quoting",TRUE,FALSE)</formula>
    </cfRule>
    <cfRule type="expression" dxfId="6164" priority="2176">
      <formula>IF($B37="Quoting",TRUE,FALSE)</formula>
    </cfRule>
    <cfRule type="expression" dxfId="6163" priority="2177">
      <formula>IF($B37="Quoting",TRUE,FALSE)</formula>
    </cfRule>
    <cfRule type="expression" dxfId="6162" priority="2178">
      <formula>IF($B37="Quoting",TRUE,FALSE)</formula>
    </cfRule>
    <cfRule type="expression" dxfId="6161" priority="2179">
      <formula>IF($B37="Quoting",TRUE,FALSE)</formula>
    </cfRule>
    <cfRule type="expression" dxfId="6160" priority="2180">
      <formula>IF($B37="Quoting",TRUE,FALSE)</formula>
    </cfRule>
    <cfRule type="expression" dxfId="6159" priority="2181">
      <formula>IF($B37="Quoting",TRUE,FALSE)</formula>
    </cfRule>
    <cfRule type="expression" dxfId="6158" priority="2182">
      <formula>IF($B37="Quoting",TRUE,FALSE)</formula>
    </cfRule>
    <cfRule type="expression" dxfId="6157" priority="2183">
      <formula>IF($B37="Quoting",TRUE,FALSE)</formula>
    </cfRule>
    <cfRule type="expression" dxfId="6156" priority="2184">
      <formula>IF($B37="Quoting",TRUE,FALSE)</formula>
    </cfRule>
    <cfRule type="expression" dxfId="6155" priority="2185">
      <formula>IF($B37="Quoting",TRUE,FALSE)</formula>
    </cfRule>
    <cfRule type="expression" dxfId="6154" priority="2186">
      <formula>IF($B37="Quoting",TRUE,FALSE)</formula>
    </cfRule>
    <cfRule type="expression" dxfId="6153" priority="2187">
      <formula>IF($B37="Quoting",TRUE,FALSE)</formula>
    </cfRule>
    <cfRule type="expression" dxfId="6152" priority="2188">
      <formula>IF($B37="Quoting",TRUE,FALSE)</formula>
    </cfRule>
    <cfRule type="expression" dxfId="6151" priority="2189">
      <formula>IF($B37="Quoting",TRUE,FALSE)</formula>
    </cfRule>
    <cfRule type="expression" dxfId="6150" priority="2190">
      <formula>IF($B37="Quoting",TRUE,FALSE)</formula>
    </cfRule>
    <cfRule type="expression" dxfId="6149" priority="2191">
      <formula>IF($B37="Quoting",TRUE,FALSE)</formula>
    </cfRule>
    <cfRule type="expression" dxfId="6148" priority="2192">
      <formula>IF($B37="Quoting",TRUE,FALSE)</formula>
    </cfRule>
    <cfRule type="expression" dxfId="6147" priority="2193">
      <formula>IF($B37="Quoting",TRUE,FALSE)</formula>
    </cfRule>
    <cfRule type="expression" dxfId="6146" priority="2194">
      <formula>IF($B37="Quoting",TRUE,FALSE)</formula>
    </cfRule>
    <cfRule type="expression" dxfId="6145" priority="2195">
      <formula>IF($B37="Quoting",TRUE,FALSE)</formula>
    </cfRule>
    <cfRule type="expression" dxfId="6144" priority="2196">
      <formula>IF($B37="Quoting",TRUE,FALSE)</formula>
    </cfRule>
    <cfRule type="expression" dxfId="6143" priority="2197">
      <formula>IF($B37="Quoting",TRUE,FALSE)</formula>
    </cfRule>
    <cfRule type="expression" dxfId="6142" priority="2198">
      <formula>IF($B37="Quoting",TRUE,FALSE)</formula>
    </cfRule>
    <cfRule type="expression" dxfId="6141" priority="2199">
      <formula>IF($B37="Quoting",TRUE,FALSE)</formula>
    </cfRule>
    <cfRule type="expression" dxfId="6140" priority="2200">
      <formula>IF($B37="Quoting",TRUE,FALSE)</formula>
    </cfRule>
    <cfRule type="expression" dxfId="6139" priority="2201">
      <formula>IF($B37="Quoting",TRUE,FALSE)</formula>
    </cfRule>
    <cfRule type="expression" dxfId="6138" priority="2202">
      <formula>IF($B37="Quoting",TRUE,FALSE)</formula>
    </cfRule>
    <cfRule type="expression" dxfId="6137" priority="2203">
      <formula>IF($B37="Quoting",TRUE,FALSE)</formula>
    </cfRule>
    <cfRule type="expression" dxfId="6136" priority="2204">
      <formula>IF($B37="Quoting",TRUE,FALSE)</formula>
    </cfRule>
    <cfRule type="expression" dxfId="6135" priority="2205">
      <formula>IF($B37="Quoting",TRUE,FALSE)</formula>
    </cfRule>
    <cfRule type="expression" dxfId="6134" priority="2206">
      <formula>IF($B37="Quoting",TRUE,FALSE)</formula>
    </cfRule>
    <cfRule type="expression" dxfId="6133" priority="2207">
      <formula>IF($B37="Quoting",TRUE,FALSE)</formula>
    </cfRule>
    <cfRule type="expression" dxfId="6132" priority="2208">
      <formula>IF($B37="Quoting",TRUE,FALSE)</formula>
    </cfRule>
    <cfRule type="expression" dxfId="6131" priority="2209">
      <formula>IF($B37="Quoting",TRUE,FALSE)</formula>
    </cfRule>
    <cfRule type="expression" dxfId="6130" priority="2210">
      <formula>IF($B37="Quoting",TRUE,FALSE)</formula>
    </cfRule>
    <cfRule type="expression" dxfId="6129" priority="2211">
      <formula>IF($B37="Quoting",TRUE,FALSE)</formula>
    </cfRule>
    <cfRule type="expression" dxfId="6128" priority="2212">
      <formula>IF($B37="Quoting",TRUE,FALSE)</formula>
    </cfRule>
    <cfRule type="expression" dxfId="6127" priority="2213">
      <formula>IF($B37="Quoting",TRUE,FALSE)</formula>
    </cfRule>
    <cfRule type="expression" dxfId="6126" priority="2214">
      <formula>IF($B37="Quoting",TRUE,FALSE)</formula>
    </cfRule>
    <cfRule type="expression" dxfId="6125" priority="2215">
      <formula>IF($B37="Quoting",TRUE,FALSE)</formula>
    </cfRule>
    <cfRule type="expression" dxfId="6124" priority="2216">
      <formula>IF($B37="Quoting",TRUE,FALSE)</formula>
    </cfRule>
    <cfRule type="expression" dxfId="6123" priority="2217">
      <formula>IF($B37="Quoting",TRUE,FALSE)</formula>
    </cfRule>
    <cfRule type="expression" dxfId="6122" priority="2218">
      <formula>IF($B37="Quoting",TRUE,FALSE)</formula>
    </cfRule>
    <cfRule type="expression" dxfId="6121" priority="2219">
      <formula>IF($B37="Quoting",TRUE,FALSE)</formula>
    </cfRule>
    <cfRule type="expression" dxfId="6120" priority="2220">
      <formula>IF($B37="Quoting",TRUE,FALSE)</formula>
    </cfRule>
    <cfRule type="expression" dxfId="6119" priority="2221">
      <formula>IF($B37="Quoting",TRUE,FALSE)</formula>
    </cfRule>
    <cfRule type="expression" dxfId="6118" priority="2222">
      <formula>IF($B37="Quoting",TRUE,FALSE)</formula>
    </cfRule>
    <cfRule type="expression" dxfId="6117" priority="2223">
      <formula>IF($B37="Quoting",TRUE,FALSE)</formula>
    </cfRule>
    <cfRule type="expression" dxfId="6116" priority="2224">
      <formula>IF($B37="Quoting",TRUE,FALSE)</formula>
    </cfRule>
    <cfRule type="expression" dxfId="6115" priority="2225">
      <formula>IF($B37="Quoting",TRUE,FALSE)</formula>
    </cfRule>
    <cfRule type="expression" dxfId="6114" priority="2226">
      <formula>IF($B37="Quoting",TRUE,FALSE)</formula>
    </cfRule>
    <cfRule type="expression" dxfId="6113" priority="2227">
      <formula>IF($B37="Quoting",TRUE,FALSE)</formula>
    </cfRule>
    <cfRule type="expression" dxfId="6112" priority="2228">
      <formula>IF($B37="Quoting",TRUE,FALSE)</formula>
    </cfRule>
    <cfRule type="expression" dxfId="6111" priority="2229">
      <formula>IF($B37="Quoting",TRUE,FALSE)</formula>
    </cfRule>
    <cfRule type="expression" dxfId="6110" priority="2230">
      <formula>IF($B37="Quoting",TRUE,FALSE)</formula>
    </cfRule>
    <cfRule type="expression" dxfId="6109" priority="2231">
      <formula>IF($B37="Quoting",TRUE,FALSE)</formula>
    </cfRule>
    <cfRule type="expression" dxfId="6108" priority="2232">
      <formula>IF($B37="Quoting",TRUE,FALSE)</formula>
    </cfRule>
    <cfRule type="expression" dxfId="6107" priority="2233">
      <formula>IF($B37="Quoting",TRUE,FALSE)</formula>
    </cfRule>
    <cfRule type="expression" dxfId="6106" priority="2234">
      <formula>IF($B37="Quoting",TRUE,FALSE)</formula>
    </cfRule>
    <cfRule type="expression" dxfId="6105" priority="2235">
      <formula>IF($B37="Quoting",TRUE,FALSE)</formula>
    </cfRule>
    <cfRule type="expression" dxfId="6104" priority="2236">
      <formula>IF($B37="Quoting",TRUE,FALSE)</formula>
    </cfRule>
    <cfRule type="expression" dxfId="6103" priority="2237">
      <formula>IF($B37="Quoting",TRUE,FALSE)</formula>
    </cfRule>
    <cfRule type="expression" dxfId="6102" priority="2238">
      <formula>IF($B37="Quoting",TRUE,FALSE)</formula>
    </cfRule>
    <cfRule type="expression" dxfId="6101" priority="2239">
      <formula>IF($B37="Quoting",TRUE,FALSE)</formula>
    </cfRule>
    <cfRule type="expression" dxfId="6100" priority="2240">
      <formula>IF($B37="Quoting",TRUE,FALSE)</formula>
    </cfRule>
    <cfRule type="expression" dxfId="6099" priority="2241">
      <formula>IF($B37="Quoting",TRUE,FALSE)</formula>
    </cfRule>
    <cfRule type="expression" dxfId="6098" priority="2242">
      <formula>IF($B37="Quoting",TRUE,FALSE)</formula>
    </cfRule>
    <cfRule type="expression" dxfId="6097" priority="2243">
      <formula>IF($B37="Quoting",TRUE,FALSE)</formula>
    </cfRule>
    <cfRule type="expression" dxfId="6096" priority="2244">
      <formula>IF($B37="Quoting",TRUE,FALSE)</formula>
    </cfRule>
    <cfRule type="expression" dxfId="6095" priority="2245">
      <formula>IF($B37="Quoting",TRUE,FALSE)</formula>
    </cfRule>
    <cfRule type="expression" dxfId="6094" priority="2246">
      <formula>IF($B37="Quoting",TRUE,FALSE)</formula>
    </cfRule>
    <cfRule type="expression" dxfId="6093" priority="2247">
      <formula>IF($B37="Quoting",TRUE,FALSE)</formula>
    </cfRule>
    <cfRule type="expression" dxfId="6092" priority="2248">
      <formula>IF($B37="Quoting",TRUE,FALSE)</formula>
    </cfRule>
    <cfRule type="expression" dxfId="6091" priority="2249">
      <formula>IF($B37="Quoting",TRUE,FALSE)</formula>
    </cfRule>
    <cfRule type="expression" dxfId="6090" priority="2250">
      <formula>IF($B37="Quoting",TRUE,FALSE)</formula>
    </cfRule>
    <cfRule type="expression" dxfId="6089" priority="2251">
      <formula>IF($B37="Quoting",TRUE,FALSE)</formula>
    </cfRule>
    <cfRule type="expression" dxfId="6088" priority="2252">
      <formula>IF($B37="Quoting",TRUE,FALSE)</formula>
    </cfRule>
    <cfRule type="expression" dxfId="6087" priority="2253">
      <formula>IF($B37="Quoting",TRUE,FALSE)</formula>
    </cfRule>
    <cfRule type="expression" dxfId="6086" priority="2254">
      <formula>IF($B37="Quoting",TRUE,FALSE)</formula>
    </cfRule>
    <cfRule type="expression" dxfId="6085" priority="2255">
      <formula>IF($B37="Quoting",TRUE,FALSE)</formula>
    </cfRule>
    <cfRule type="expression" dxfId="6084" priority="2256">
      <formula>IF($B37="Quoting",TRUE,FALSE)</formula>
    </cfRule>
    <cfRule type="expression" dxfId="6083" priority="2257">
      <formula>IF($B37="Quoting",TRUE,FALSE)</formula>
    </cfRule>
    <cfRule type="expression" dxfId="6082" priority="2258">
      <formula>IF($B37="Quoting",TRUE,FALSE)</formula>
    </cfRule>
    <cfRule type="expression" dxfId="6081" priority="2259">
      <formula>IF($B37="Quoting",TRUE,FALSE)</formula>
    </cfRule>
    <cfRule type="expression" dxfId="6080" priority="2260">
      <formula>IF($B37="Quoting",TRUE,FALSE)</formula>
    </cfRule>
    <cfRule type="expression" dxfId="6079" priority="2261">
      <formula>IF($B37="Quoting",TRUE,FALSE)</formula>
    </cfRule>
    <cfRule type="expression" dxfId="6078" priority="2262">
      <formula>IF($B37="Quoting",TRUE,FALSE)</formula>
    </cfRule>
    <cfRule type="expression" dxfId="6077" priority="2263">
      <formula>IF($B37="Quoting",TRUE,FALSE)</formula>
    </cfRule>
    <cfRule type="expression" dxfId="6076" priority="2264">
      <formula>IF($B37="Quoting",TRUE,FALSE)</formula>
    </cfRule>
    <cfRule type="expression" dxfId="6075" priority="2265">
      <formula>IF($B37="Quoting",TRUE,FALSE)</formula>
    </cfRule>
    <cfRule type="expression" dxfId="6074" priority="2266">
      <formula>IF($B37="Quoting",TRUE,FALSE)</formula>
    </cfRule>
    <cfRule type="expression" dxfId="6073" priority="2267">
      <formula>IF($B37="Quoting",TRUE,FALSE)</formula>
    </cfRule>
    <cfRule type="expression" dxfId="6072" priority="2268">
      <formula>IF($B37="Quoting",TRUE,FALSE)</formula>
    </cfRule>
    <cfRule type="expression" dxfId="6071" priority="2269">
      <formula>IF($B37="Quoting",TRUE,FALSE)</formula>
    </cfRule>
    <cfRule type="expression" dxfId="6070" priority="2270">
      <formula>IF($B37="Quoting",TRUE,FALSE)</formula>
    </cfRule>
    <cfRule type="expression" dxfId="6069" priority="2271">
      <formula>IF($B37="Quoting",TRUE,FALSE)</formula>
    </cfRule>
    <cfRule type="expression" dxfId="6068" priority="2272">
      <formula>IF($B37="Quoting",TRUE,FALSE)</formula>
    </cfRule>
    <cfRule type="expression" dxfId="6067" priority="2273">
      <formula>IF($B37="Quoting",TRUE,FALSE)</formula>
    </cfRule>
    <cfRule type="expression" dxfId="6066" priority="2274">
      <formula>IF($B37="Quoting",TRUE,FALSE)</formula>
    </cfRule>
    <cfRule type="expression" dxfId="6065" priority="2275">
      <formula>IF($B37="Quoting",TRUE,FALSE)</formula>
    </cfRule>
    <cfRule type="expression" dxfId="6064" priority="2276">
      <formula>IF($B37="Quoting",TRUE,FALSE)</formula>
    </cfRule>
    <cfRule type="expression" dxfId="6063" priority="2277">
      <formula>IF($B37="Quoting",TRUE,FALSE)</formula>
    </cfRule>
    <cfRule type="expression" dxfId="6062" priority="2278">
      <formula>IF($B37="Quoting",TRUE,FALSE)</formula>
    </cfRule>
    <cfRule type="expression" dxfId="6061" priority="2279">
      <formula>IF($B37="Quoting",TRUE,FALSE)</formula>
    </cfRule>
    <cfRule type="expression" dxfId="6060" priority="2280">
      <formula>IF($B37="Quoting",TRUE,FALSE)</formula>
    </cfRule>
    <cfRule type="expression" dxfId="6059" priority="2281">
      <formula>IF($B37="Quoting",TRUE,FALSE)</formula>
    </cfRule>
    <cfRule type="expression" dxfId="6058" priority="2282">
      <formula>IF($B37="Quoting",TRUE,FALSE)</formula>
    </cfRule>
    <cfRule type="expression" dxfId="6057" priority="2283">
      <formula>IF($B37="Quoting",TRUE,FALSE)</formula>
    </cfRule>
    <cfRule type="expression" dxfId="6056" priority="2284">
      <formula>IF($B37="Quoting",TRUE,FALSE)</formula>
    </cfRule>
    <cfRule type="expression" dxfId="6055" priority="2285">
      <formula>IF($B37="Quoting",TRUE,FALSE)</formula>
    </cfRule>
    <cfRule type="expression" dxfId="6054" priority="2286">
      <formula>IF($B37="Quoting",TRUE,FALSE)</formula>
    </cfRule>
    <cfRule type="expression" dxfId="6053" priority="2287">
      <formula>IF($B37="Quoting",TRUE,FALSE)</formula>
    </cfRule>
    <cfRule type="expression" dxfId="6052" priority="2288">
      <formula>IF($B37="Quoting",TRUE,FALSE)</formula>
    </cfRule>
    <cfRule type="expression" dxfId="6051" priority="2289">
      <formula>IF($B37="Quoting",TRUE,FALSE)</formula>
    </cfRule>
    <cfRule type="expression" dxfId="6050" priority="2290">
      <formula>IF($B37="Quoting",TRUE,FALSE)</formula>
    </cfRule>
    <cfRule type="expression" dxfId="6049" priority="2291">
      <formula>IF($B37="Quoting",TRUE,FALSE)</formula>
    </cfRule>
    <cfRule type="expression" dxfId="6048" priority="2292">
      <formula>IF($B37="Quoting",TRUE,FALSE)</formula>
    </cfRule>
    <cfRule type="expression" dxfId="6047" priority="2293">
      <formula>IF($B37="Quoting",TRUE,FALSE)</formula>
    </cfRule>
    <cfRule type="expression" dxfId="6046" priority="2294">
      <formula>IF($B37="Quoting",TRUE,FALSE)</formula>
    </cfRule>
    <cfRule type="expression" dxfId="6045" priority="2295">
      <formula>IF($B37="Quoting",TRUE,FALSE)</formula>
    </cfRule>
    <cfRule type="expression" dxfId="6044" priority="2296">
      <formula>IF($B37="Quoting",TRUE,FALSE)</formula>
    </cfRule>
    <cfRule type="expression" dxfId="6043" priority="2297">
      <formula>IF($B37="Quoting",TRUE,FALSE)</formula>
    </cfRule>
    <cfRule type="expression" dxfId="6042" priority="2298">
      <formula>IF($B37="Quoting",TRUE,FALSE)</formula>
    </cfRule>
    <cfRule type="expression" dxfId="6041" priority="2299">
      <formula>IF($B37="Quoting",TRUE,FALSE)</formula>
    </cfRule>
    <cfRule type="expression" dxfId="6040" priority="2300">
      <formula>IF($B37="Quoting",TRUE,FALSE)</formula>
    </cfRule>
    <cfRule type="expression" dxfId="6039" priority="2301">
      <formula>IF($B37="Quoting",TRUE,FALSE)</formula>
    </cfRule>
    <cfRule type="expression" dxfId="6038" priority="2302">
      <formula>IF($B37="Quoting",TRUE,FALSE)</formula>
    </cfRule>
    <cfRule type="expression" dxfId="6037" priority="2303">
      <formula>IF($B37="Quoting",TRUE,FALSE)</formula>
    </cfRule>
    <cfRule type="expression" dxfId="6036" priority="2304">
      <formula>IF($B37="Quoting",TRUE,FALSE)</formula>
    </cfRule>
    <cfRule type="expression" dxfId="6035" priority="2305">
      <formula>IF($B37="Quoting",TRUE,FALSE)</formula>
    </cfRule>
    <cfRule type="expression" dxfId="6034" priority="2306">
      <formula>IF($B37="Quoting",TRUE,FALSE)</formula>
    </cfRule>
    <cfRule type="expression" dxfId="6033" priority="2307">
      <formula>IF($B37="Quoting",TRUE,FALSE)</formula>
    </cfRule>
    <cfRule type="expression" dxfId="6032" priority="2308">
      <formula>IF($B37="Quoting",TRUE,FALSE)</formula>
    </cfRule>
    <cfRule type="expression" dxfId="6031" priority="2309">
      <formula>IF($B37="Quoting",TRUE,FALSE)</formula>
    </cfRule>
    <cfRule type="expression" dxfId="6030" priority="2310">
      <formula>IF($B37="Quoting",TRUE,FALSE)</formula>
    </cfRule>
    <cfRule type="expression" dxfId="6029" priority="2311">
      <formula>IF($B37="Quoting",TRUE,FALSE)</formula>
    </cfRule>
    <cfRule type="expression" dxfId="6028" priority="2312">
      <formula>IF($B37="Quoting",TRUE,FALSE)</formula>
    </cfRule>
    <cfRule type="expression" dxfId="6027" priority="2313">
      <formula>IF($B37="Quoting",TRUE,FALSE)</formula>
    </cfRule>
    <cfRule type="expression" dxfId="6026" priority="2314">
      <formula>IF($B37="Quoting",TRUE,FALSE)</formula>
    </cfRule>
    <cfRule type="expression" dxfId="6025" priority="2315">
      <formula>IF($B37="Quoting",TRUE,FALSE)</formula>
    </cfRule>
    <cfRule type="expression" dxfId="6024" priority="2316">
      <formula>IF($B37="Quoting",TRUE,FALSE)</formula>
    </cfRule>
    <cfRule type="expression" dxfId="6023" priority="2317">
      <formula>IF($B37="Quoting",TRUE,FALSE)</formula>
    </cfRule>
    <cfRule type="expression" dxfId="6022" priority="2318">
      <formula>IF($B37="Quoting",TRUE,FALSE)</formula>
    </cfRule>
    <cfRule type="expression" dxfId="6021" priority="2319">
      <formula>IF($B37="Quoting",TRUE,FALSE)</formula>
    </cfRule>
    <cfRule type="expression" dxfId="6020" priority="2320">
      <formula>IF($B37="Quoting",TRUE,FALSE)</formula>
    </cfRule>
    <cfRule type="expression" dxfId="6019" priority="2321">
      <formula>IF($B37="Quoting",TRUE,FALSE)</formula>
    </cfRule>
    <cfRule type="expression" dxfId="6018" priority="2322">
      <formula>IF($B37="Quoting",TRUE,FALSE)</formula>
    </cfRule>
    <cfRule type="expression" dxfId="6017" priority="2323">
      <formula>IF($B37="Quoting",TRUE,FALSE)</formula>
    </cfRule>
    <cfRule type="expression" dxfId="6016" priority="2324">
      <formula>IF($B37="Quoting",TRUE,FALSE)</formula>
    </cfRule>
    <cfRule type="expression" dxfId="6015" priority="2325">
      <formula>IF($B37="Quoting",TRUE,FALSE)</formula>
    </cfRule>
    <cfRule type="expression" dxfId="6014" priority="2326">
      <formula>IF($B37="Quoting",TRUE,FALSE)</formula>
    </cfRule>
    <cfRule type="expression" dxfId="6013" priority="2327">
      <formula>IF($B37="Quoting",TRUE,FALSE)</formula>
    </cfRule>
    <cfRule type="expression" dxfId="6012" priority="2328">
      <formula>IF($B37="Quoting",TRUE,FALSE)</formula>
    </cfRule>
    <cfRule type="expression" dxfId="6011" priority="2329">
      <formula>IF($B37="Quoting",TRUE,FALSE)</formula>
    </cfRule>
    <cfRule type="expression" dxfId="6010" priority="2330">
      <formula>IF($B37="Quoting",TRUE,FALSE)</formula>
    </cfRule>
    <cfRule type="expression" dxfId="6009" priority="2331">
      <formula>IF($B37="Quoting",TRUE,FALSE)</formula>
    </cfRule>
    <cfRule type="expression" dxfId="6008" priority="2332">
      <formula>IF($B37="Quoting",TRUE,FALSE)</formula>
    </cfRule>
    <cfRule type="expression" dxfId="6007" priority="2333">
      <formula>IF($B37="Quoting",TRUE,FALSE)</formula>
    </cfRule>
    <cfRule type="expression" dxfId="6006" priority="2334">
      <formula>IF($B37="Quoting",TRUE,FALSE)</formula>
    </cfRule>
    <cfRule type="expression" dxfId="6005" priority="2335">
      <formula>IF($B37="Quoting",TRUE,FALSE)</formula>
    </cfRule>
    <cfRule type="expression" dxfId="6004" priority="2336">
      <formula>IF($B37="Quoting",TRUE,FALSE)</formula>
    </cfRule>
    <cfRule type="expression" dxfId="6003" priority="2337">
      <formula>IF($B37="Quoting",TRUE,FALSE)</formula>
    </cfRule>
    <cfRule type="expression" dxfId="6002" priority="2338">
      <formula>IF($B37="Quoting",TRUE,FALSE)</formula>
    </cfRule>
    <cfRule type="expression" dxfId="6001" priority="2339">
      <formula>IF($B37="Quoting",TRUE,FALSE)</formula>
    </cfRule>
    <cfRule type="expression" dxfId="6000" priority="2340">
      <formula>IF($B37="Quoting",TRUE,FALSE)</formula>
    </cfRule>
    <cfRule type="expression" dxfId="5999" priority="2341">
      <formula>IF($B37="Quoting",TRUE,FALSE)</formula>
    </cfRule>
    <cfRule type="expression" dxfId="5998" priority="2342">
      <formula>IF($B37="Quoting",TRUE,FALSE)</formula>
    </cfRule>
    <cfRule type="expression" dxfId="5997" priority="2343">
      <formula>IF($B37="Quoting",TRUE,FALSE)</formula>
    </cfRule>
    <cfRule type="expression" dxfId="5996" priority="2344">
      <formula>IF($B37="Quoting",TRUE,FALSE)</formula>
    </cfRule>
    <cfRule type="expression" dxfId="5995" priority="2345">
      <formula>IF($B37="Quoting",TRUE,FALSE)</formula>
    </cfRule>
    <cfRule type="expression" dxfId="5994" priority="2346">
      <formula>IF($B37="Quoting",TRUE,FALSE)</formula>
    </cfRule>
    <cfRule type="expression" dxfId="5993" priority="2347">
      <formula>IF($B37="Quoting",TRUE,FALSE)</formula>
    </cfRule>
    <cfRule type="expression" dxfId="5992" priority="2348">
      <formula>IF($B37="Quoting",TRUE,FALSE)</formula>
    </cfRule>
    <cfRule type="expression" dxfId="5991" priority="2349">
      <formula>IF($B37="Quoting",TRUE,FALSE)</formula>
    </cfRule>
    <cfRule type="expression" dxfId="5990" priority="2350">
      <formula>IF($B37="Quoting",TRUE,FALSE)</formula>
    </cfRule>
    <cfRule type="expression" dxfId="5989" priority="2351">
      <formula>IF($B37="Quoting",TRUE,FALSE)</formula>
    </cfRule>
    <cfRule type="expression" dxfId="5988" priority="2352">
      <formula>IF($B37="Quoting",TRUE,FALSE)</formula>
    </cfRule>
    <cfRule type="expression" dxfId="5987" priority="2353">
      <formula>IF($B37="Quoting",TRUE,FALSE)</formula>
    </cfRule>
    <cfRule type="expression" dxfId="5986" priority="2354">
      <formula>IF($B37="Quoting",TRUE,FALSE)</formula>
    </cfRule>
    <cfRule type="expression" dxfId="5985" priority="2355">
      <formula>IF($B37="Quoting",TRUE,FALSE)</formula>
    </cfRule>
    <cfRule type="expression" dxfId="5984" priority="2356">
      <formula>IF($B37="Quoting",TRUE,FALSE)</formula>
    </cfRule>
    <cfRule type="expression" dxfId="5983" priority="2357">
      <formula>IF($B37="Quoting",TRUE,FALSE)</formula>
    </cfRule>
    <cfRule type="expression" dxfId="5982" priority="2358">
      <formula>IF($B37="Quoting",TRUE,FALSE)</formula>
    </cfRule>
    <cfRule type="expression" dxfId="5981" priority="2359">
      <formula>IF($B37="Quoting",TRUE,FALSE)</formula>
    </cfRule>
    <cfRule type="expression" dxfId="5980" priority="2360">
      <formula>IF($B37="Quoting",TRUE,FALSE)</formula>
    </cfRule>
    <cfRule type="expression" dxfId="5979" priority="2361">
      <formula>IF($B37="Quoting",TRUE,FALSE)</formula>
    </cfRule>
    <cfRule type="expression" dxfId="5978" priority="2362">
      <formula>IF($B37="Quoting",TRUE,FALSE)</formula>
    </cfRule>
    <cfRule type="expression" dxfId="5977" priority="2363">
      <formula>IF($B37="Quoting",TRUE,FALSE)</formula>
    </cfRule>
    <cfRule type="expression" dxfId="5976" priority="2364">
      <formula>IF($B37="Quoting",TRUE,FALSE)</formula>
    </cfRule>
    <cfRule type="expression" dxfId="5975" priority="2365">
      <formula>IF($B37="Quoting",TRUE,FALSE)</formula>
    </cfRule>
    <cfRule type="expression" dxfId="5974" priority="2366">
      <formula>IF($B37="Quoting",TRUE,FALSE)</formula>
    </cfRule>
    <cfRule type="expression" dxfId="5973" priority="2367">
      <formula>IF($B37="Quoting",TRUE,FALSE)</formula>
    </cfRule>
    <cfRule type="expression" dxfId="5972" priority="2368">
      <formula>IF($B37="Quoting",TRUE,FALSE)</formula>
    </cfRule>
    <cfRule type="expression" dxfId="5971" priority="2369">
      <formula>IF($B37="Quoting",TRUE,FALSE)</formula>
    </cfRule>
    <cfRule type="expression" dxfId="5970" priority="2370">
      <formula>IF($B37="Quoting",TRUE,FALSE)</formula>
    </cfRule>
    <cfRule type="expression" dxfId="5969" priority="2371">
      <formula>IF($B37="Quoting",TRUE,FALSE)</formula>
    </cfRule>
    <cfRule type="expression" dxfId="5968" priority="2372">
      <formula>IF($B37="Quoting",TRUE,FALSE)</formula>
    </cfRule>
    <cfRule type="expression" dxfId="5967" priority="2373">
      <formula>IF($B37="Quoting",TRUE,FALSE)</formula>
    </cfRule>
    <cfRule type="expression" dxfId="5966" priority="2374">
      <formula>IF($B37="Quoting",TRUE,FALSE)</formula>
    </cfRule>
    <cfRule type="expression" dxfId="5965" priority="2375">
      <formula>IF($B37="Quoting",TRUE,FALSE)</formula>
    </cfRule>
    <cfRule type="expression" dxfId="5964" priority="2376">
      <formula>IF($B37="Quoting",TRUE,FALSE)</formula>
    </cfRule>
    <cfRule type="expression" dxfId="5963" priority="2377">
      <formula>IF($B37="Quoting",TRUE,FALSE)</formula>
    </cfRule>
    <cfRule type="expression" dxfId="5962" priority="2378">
      <formula>IF($B37="Quoting",TRUE,FALSE)</formula>
    </cfRule>
    <cfRule type="expression" dxfId="5961" priority="2379">
      <formula>IF($B37="Quoting",TRUE,FALSE)</formula>
    </cfRule>
    <cfRule type="expression" dxfId="5960" priority="2380">
      <formula>IF($B37="Quoting",TRUE,FALSE)</formula>
    </cfRule>
    <cfRule type="expression" dxfId="5959" priority="2381">
      <formula>IF($B37="Quoting",TRUE,FALSE)</formula>
    </cfRule>
    <cfRule type="expression" dxfId="5958" priority="2382">
      <formula>IF($B37="Quoting",TRUE,FALSE)</formula>
    </cfRule>
    <cfRule type="expression" dxfId="5957" priority="2383">
      <formula>IF($B37="Quoting",TRUE,FALSE)</formula>
    </cfRule>
    <cfRule type="expression" dxfId="5956" priority="2384">
      <formula>IF($B37="Quoting",TRUE,FALSE)</formula>
    </cfRule>
    <cfRule type="expression" dxfId="5955" priority="2385">
      <formula>IF($B37="Quoting",TRUE,FALSE)</formula>
    </cfRule>
    <cfRule type="expression" dxfId="5954" priority="2386">
      <formula>IF($B37="Quoting",TRUE,FALSE)</formula>
    </cfRule>
    <cfRule type="expression" dxfId="5953" priority="2387">
      <formula>IF($B37="Quoting",TRUE,FALSE)</formula>
    </cfRule>
    <cfRule type="expression" dxfId="5952" priority="2388">
      <formula>IF($B37="Quoting",TRUE,FALSE)</formula>
    </cfRule>
    <cfRule type="expression" dxfId="5951" priority="2389">
      <formula>IF($B37="Quoting",TRUE,FALSE)</formula>
    </cfRule>
    <cfRule type="expression" dxfId="5950" priority="2390">
      <formula>IF($B37="Quoting",TRUE,FALSE)</formula>
    </cfRule>
    <cfRule type="expression" dxfId="5949" priority="2391">
      <formula>IF($B37="Quoting",TRUE,FALSE)</formula>
    </cfRule>
    <cfRule type="expression" dxfId="5948" priority="2392">
      <formula>IF($B37="Quoting",TRUE,FALSE)</formula>
    </cfRule>
    <cfRule type="expression" dxfId="5947" priority="2393">
      <formula>IF($B37="Quoting",TRUE,FALSE)</formula>
    </cfRule>
    <cfRule type="expression" dxfId="5946" priority="2394">
      <formula>IF($B37="Quoting",TRUE,FALSE)</formula>
    </cfRule>
    <cfRule type="expression" dxfId="5945" priority="2395">
      <formula>IF($B37="Quoting",TRUE,FALSE)</formula>
    </cfRule>
    <cfRule type="expression" dxfId="5944" priority="2396">
      <formula>IF($B37="Quoting",TRUE,FALSE)</formula>
    </cfRule>
    <cfRule type="expression" dxfId="5943" priority="2397">
      <formula>IF($B37="Quoting",TRUE,FALSE)</formula>
    </cfRule>
    <cfRule type="expression" dxfId="5942" priority="2398">
      <formula>IF($B37="Quoting",TRUE,FALSE)</formula>
    </cfRule>
    <cfRule type="expression" dxfId="5941" priority="2399">
      <formula>IF($B37="Quoting",TRUE,FALSE)</formula>
    </cfRule>
    <cfRule type="expression" dxfId="5940" priority="2400">
      <formula>IF($B37="Quoting",TRUE,FALSE)</formula>
    </cfRule>
    <cfRule type="expression" dxfId="5939" priority="2401">
      <formula>IF($B37="Quoting",TRUE,FALSE)</formula>
    </cfRule>
    <cfRule type="expression" dxfId="5938" priority="2402">
      <formula>IF($B37="Quoting",TRUE,FALSE)</formula>
    </cfRule>
    <cfRule type="expression" dxfId="5937" priority="2403">
      <formula>IF($B37="Quoting",TRUE,FALSE)</formula>
    </cfRule>
    <cfRule type="expression" dxfId="5936" priority="2404">
      <formula>IF($B37="Quoting",TRUE,FALSE)</formula>
    </cfRule>
    <cfRule type="expression" dxfId="5935" priority="2405">
      <formula>IF($B37="Quoting",TRUE,FALSE)</formula>
    </cfRule>
    <cfRule type="expression" dxfId="5934" priority="2406">
      <formula>IF($B37="Quoting",TRUE,FALSE)</formula>
    </cfRule>
    <cfRule type="expression" dxfId="5933" priority="2407">
      <formula>IF($B37="Quoting",TRUE,FALSE)</formula>
    </cfRule>
    <cfRule type="expression" dxfId="5932" priority="2408">
      <formula>IF($B37="Quoting",TRUE,FALSE)</formula>
    </cfRule>
    <cfRule type="expression" dxfId="5931" priority="2409">
      <formula>IF($B37="Quoting",TRUE,FALSE)</formula>
    </cfRule>
    <cfRule type="expression" dxfId="5930" priority="2410">
      <formula>IF($B37="Quoting",TRUE,FALSE)</formula>
    </cfRule>
    <cfRule type="expression" dxfId="5929" priority="2411">
      <formula>IF($B37="Quoting",TRUE,FALSE)</formula>
    </cfRule>
    <cfRule type="expression" dxfId="5928" priority="2412">
      <formula>IF($B37="Quoting",TRUE,FALSE)</formula>
    </cfRule>
    <cfRule type="expression" dxfId="5927" priority="2413">
      <formula>IF($B37="Quoting",TRUE,FALSE)</formula>
    </cfRule>
    <cfRule type="expression" dxfId="5926" priority="2414">
      <formula>IF($B37="Quoting",TRUE,FALSE)</formula>
    </cfRule>
    <cfRule type="expression" dxfId="5925" priority="2415">
      <formula>IF($B37="Quoting",TRUE,FALSE)</formula>
    </cfRule>
    <cfRule type="expression" dxfId="5924" priority="2416">
      <formula>IF($B37="Quoting",TRUE,FALSE)</formula>
    </cfRule>
    <cfRule type="expression" dxfId="5923" priority="2417">
      <formula>IF($B37="Quoting",TRUE,FALSE)</formula>
    </cfRule>
    <cfRule type="expression" dxfId="5922" priority="2418">
      <formula>IF($B37="Quoting",TRUE,FALSE)</formula>
    </cfRule>
    <cfRule type="expression" dxfId="5921" priority="2419">
      <formula>IF($B37="Quoting",TRUE,FALSE)</formula>
    </cfRule>
    <cfRule type="expression" dxfId="5920" priority="2420">
      <formula>IF($B37="Quoting",TRUE,FALSE)</formula>
    </cfRule>
    <cfRule type="expression" dxfId="5919" priority="2421">
      <formula>IF($B37="Quoting",TRUE,FALSE)</formula>
    </cfRule>
    <cfRule type="expression" dxfId="5918" priority="2422">
      <formula>IF($B37="Quoting",TRUE,FALSE)</formula>
    </cfRule>
    <cfRule type="expression" dxfId="5917" priority="2423">
      <formula>IF($B37="Quoting",TRUE,FALSE)</formula>
    </cfRule>
    <cfRule type="expression" dxfId="5916" priority="2424">
      <formula>IF($B37="Quoting",TRUE,FALSE)</formula>
    </cfRule>
    <cfRule type="expression" dxfId="5915" priority="2425">
      <formula>IF($B37="Quoting",TRUE,FALSE)</formula>
    </cfRule>
    <cfRule type="expression" dxfId="5914" priority="2426">
      <formula>IF($B37="Quoting",TRUE,FALSE)</formula>
    </cfRule>
    <cfRule type="expression" dxfId="5913" priority="2427">
      <formula>IF($B37="Quoting",TRUE,FALSE)</formula>
    </cfRule>
    <cfRule type="expression" dxfId="5912" priority="2428">
      <formula>IF($B37="Quoting",TRUE,FALSE)</formula>
    </cfRule>
    <cfRule type="expression" dxfId="5911" priority="2429">
      <formula>IF($B37="Quoting",TRUE,FALSE)</formula>
    </cfRule>
    <cfRule type="expression" dxfId="5910" priority="2430">
      <formula>IF($B37="Quoting",TRUE,FALSE)</formula>
    </cfRule>
    <cfRule type="expression" dxfId="5909" priority="2431">
      <formula>IF($B37="Quoting",TRUE,FALSE)</formula>
    </cfRule>
    <cfRule type="expression" dxfId="5908" priority="2432">
      <formula>IF($B37="Quoting",TRUE,FALSE)</formula>
    </cfRule>
    <cfRule type="expression" dxfId="5907" priority="2433">
      <formula>IF($B37="Quoting",TRUE,FALSE)</formula>
    </cfRule>
    <cfRule type="expression" dxfId="5906" priority="2434">
      <formula>IF($B37="Quoting",TRUE,FALSE)</formula>
    </cfRule>
    <cfRule type="expression" dxfId="5905" priority="2435">
      <formula>IF($B37="Quoting",TRUE,FALSE)</formula>
    </cfRule>
    <cfRule type="expression" dxfId="5904" priority="2436">
      <formula>IF($B37="Quoting",TRUE,FALSE)</formula>
    </cfRule>
    <cfRule type="expression" dxfId="5903" priority="2437">
      <formula>IF($B37="Quoting",TRUE,FALSE)</formula>
    </cfRule>
    <cfRule type="expression" dxfId="5902" priority="2438">
      <formula>IF($B37="Quoting",TRUE,FALSE)</formula>
    </cfRule>
    <cfRule type="expression" dxfId="5901" priority="2439">
      <formula>IF($B37="Quoting",TRUE,FALSE)</formula>
    </cfRule>
    <cfRule type="expression" dxfId="5900" priority="2440">
      <formula>IF($B37="Quoting",TRUE,FALSE)</formula>
    </cfRule>
    <cfRule type="expression" dxfId="5899" priority="2441">
      <formula>IF($B37="Quoting",TRUE,FALSE)</formula>
    </cfRule>
    <cfRule type="expression" dxfId="5898" priority="2442">
      <formula>IF($B37="Quoting",TRUE,FALSE)</formula>
    </cfRule>
    <cfRule type="expression" dxfId="5897" priority="2443">
      <formula>IF($B37="Quoting",TRUE,FALSE)</formula>
    </cfRule>
    <cfRule type="expression" dxfId="5896" priority="2444">
      <formula>IF($B37="Quoting",TRUE,FALSE)</formula>
    </cfRule>
    <cfRule type="expression" dxfId="5895" priority="2445">
      <formula>IF($B37="Quoting",TRUE,FALSE)</formula>
    </cfRule>
    <cfRule type="expression" dxfId="5894" priority="2446">
      <formula>IF($B37="Quoting",TRUE,FALSE)</formula>
    </cfRule>
    <cfRule type="expression" dxfId="5893" priority="2447">
      <formula>IF($B37="Quoting",TRUE,FALSE)</formula>
    </cfRule>
    <cfRule type="expression" dxfId="5892" priority="2448">
      <formula>IF($B37="Quoting",TRUE,FALSE)</formula>
    </cfRule>
    <cfRule type="expression" dxfId="5891" priority="2449">
      <formula>IF($B37="Quoting",TRUE,FALSE)</formula>
    </cfRule>
    <cfRule type="expression" dxfId="5890" priority="2450">
      <formula>IF($B37="Quoting",TRUE,FALSE)</formula>
    </cfRule>
    <cfRule type="expression" dxfId="5889" priority="2451">
      <formula>IF($B37="Quoting",TRUE,FALSE)</formula>
    </cfRule>
    <cfRule type="expression" dxfId="5888" priority="2452">
      <formula>IF($B37="Quoting",TRUE,FALSE)</formula>
    </cfRule>
    <cfRule type="expression" dxfId="5887" priority="2453">
      <formula>IF($B37="Quoting",TRUE,FALSE)</formula>
    </cfRule>
    <cfRule type="expression" dxfId="5886" priority="2454">
      <formula>IF($B37="Quoting",TRUE,FALSE)</formula>
    </cfRule>
    <cfRule type="expression" dxfId="5885" priority="2455">
      <formula>IF($B37="Quoting",TRUE,FALSE)</formula>
    </cfRule>
    <cfRule type="expression" dxfId="5884" priority="2456">
      <formula>IF($B37="Quoting",TRUE,FALSE)</formula>
    </cfRule>
    <cfRule type="expression" dxfId="5883" priority="2457">
      <formula>IF($B37="Quoting",TRUE,FALSE)</formula>
    </cfRule>
    <cfRule type="expression" dxfId="5882" priority="2458">
      <formula>IF($B37="Quoting",TRUE,FALSE)</formula>
    </cfRule>
    <cfRule type="expression" dxfId="5881" priority="2459">
      <formula>IF($B37="Quoting",TRUE,FALSE)</formula>
    </cfRule>
    <cfRule type="expression" dxfId="5880" priority="2460">
      <formula>IF($B37="Quoting",TRUE,FALSE)</formula>
    </cfRule>
    <cfRule type="expression" dxfId="5879" priority="2461">
      <formula>IF($B37="Quoting",TRUE,FALSE)</formula>
    </cfRule>
    <cfRule type="expression" dxfId="5878" priority="2462">
      <formula>IF($B37="Quoting",TRUE,FALSE)</formula>
    </cfRule>
    <cfRule type="expression" dxfId="5877" priority="2463">
      <formula>IF($B37="Quoting",TRUE,FALSE)</formula>
    </cfRule>
    <cfRule type="expression" dxfId="5876" priority="2464">
      <formula>IF($B37="Quoting",TRUE,FALSE)</formula>
    </cfRule>
    <cfRule type="expression" dxfId="5875" priority="2465">
      <formula>IF($B37="Quoting",TRUE,FALSE)</formula>
    </cfRule>
    <cfRule type="expression" dxfId="5874" priority="2466">
      <formula>IF($B37="Quoting",TRUE,FALSE)</formula>
    </cfRule>
    <cfRule type="expression" dxfId="5873" priority="2467">
      <formula>IF($B37="Quoting",TRUE,FALSE)</formula>
    </cfRule>
    <cfRule type="expression" dxfId="5872" priority="2468">
      <formula>IF($B37="Quoting",TRUE,FALSE)</formula>
    </cfRule>
    <cfRule type="expression" dxfId="5871" priority="2469">
      <formula>IF($B37="Quoting",TRUE,FALSE)</formula>
    </cfRule>
    <cfRule type="expression" dxfId="5870" priority="2470">
      <formula>IF($B37="Quoting",TRUE,FALSE)</formula>
    </cfRule>
    <cfRule type="expression" dxfId="5869" priority="2471">
      <formula>IF($B37="Quoting",TRUE,FALSE)</formula>
    </cfRule>
    <cfRule type="expression" dxfId="5868" priority="2472">
      <formula>IF($B37="Quoting",TRUE,FALSE)</formula>
    </cfRule>
    <cfRule type="expression" dxfId="5867" priority="2473">
      <formula>IF($B37="Quoting",TRUE,FALSE)</formula>
    </cfRule>
    <cfRule type="expression" dxfId="5866" priority="2474">
      <formula>IF($B37="Quoting",TRUE,FALSE)</formula>
    </cfRule>
    <cfRule type="expression" dxfId="5865" priority="2475">
      <formula>IF($B37="Quoting",TRUE,FALSE)</formula>
    </cfRule>
    <cfRule type="expression" dxfId="5864" priority="2476">
      <formula>IF($B37="Quoting",TRUE,FALSE)</formula>
    </cfRule>
    <cfRule type="expression" dxfId="5863" priority="2477">
      <formula>IF($B37="Quoting",TRUE,FALSE)</formula>
    </cfRule>
    <cfRule type="expression" dxfId="5862" priority="2478">
      <formula>IF($B37="Quoting",TRUE,FALSE)</formula>
    </cfRule>
    <cfRule type="expression" dxfId="5861" priority="2479">
      <formula>IF($B37="Quoting",TRUE,FALSE)</formula>
    </cfRule>
    <cfRule type="expression" dxfId="5860" priority="2480">
      <formula>IF($B37="Quoting",TRUE,FALSE)</formula>
    </cfRule>
    <cfRule type="expression" dxfId="5859" priority="2481">
      <formula>IF($B37="Quoting",TRUE,FALSE)</formula>
    </cfRule>
    <cfRule type="expression" dxfId="5858" priority="2482">
      <formula>IF($B37="Quoting",TRUE,FALSE)</formula>
    </cfRule>
    <cfRule type="expression" dxfId="5857" priority="2483">
      <formula>IF($B37="Quoting",TRUE,FALSE)</formula>
    </cfRule>
    <cfRule type="expression" dxfId="5856" priority="2484">
      <formula>IF($B37="Quoting",TRUE,FALSE)</formula>
    </cfRule>
    <cfRule type="expression" dxfId="5855" priority="2485">
      <formula>IF($B37="Quoting",TRUE,FALSE)</formula>
    </cfRule>
    <cfRule type="expression" dxfId="5854" priority="2486">
      <formula>IF($B37="Quoting",TRUE,FALSE)</formula>
    </cfRule>
    <cfRule type="expression" dxfId="5853" priority="2487">
      <formula>IF($B37="Quoting",TRUE,FALSE)</formula>
    </cfRule>
    <cfRule type="expression" dxfId="5852" priority="2488">
      <formula>IF($B37="Quoting",TRUE,FALSE)</formula>
    </cfRule>
    <cfRule type="expression" dxfId="5851" priority="2489">
      <formula>IF($B37="Quoting",TRUE,FALSE)</formula>
    </cfRule>
    <cfRule type="expression" dxfId="5850" priority="2490">
      <formula>IF($B37="Quoting",TRUE,FALSE)</formula>
    </cfRule>
    <cfRule type="expression" dxfId="5849" priority="2491">
      <formula>IF($B37="Quoting",TRUE,FALSE)</formula>
    </cfRule>
    <cfRule type="expression" dxfId="5848" priority="2492">
      <formula>IF($B37="Quoting",TRUE,FALSE)</formula>
    </cfRule>
    <cfRule type="expression" dxfId="5847" priority="2493">
      <formula>IF($B37="Quoting",TRUE,FALSE)</formula>
    </cfRule>
    <cfRule type="expression" dxfId="5846" priority="2494">
      <formula>IF($B37="Quoting",TRUE,FALSE)</formula>
    </cfRule>
    <cfRule type="expression" dxfId="5845" priority="2495">
      <formula>IF($B37="Quoting",TRUE,FALSE)</formula>
    </cfRule>
    <cfRule type="expression" dxfId="5844" priority="2496">
      <formula>IF($B37="Quoting",TRUE,FALSE)</formula>
    </cfRule>
    <cfRule type="expression" dxfId="5843" priority="2497">
      <formula>IF($B37="Quoting",TRUE,FALSE)</formula>
    </cfRule>
    <cfRule type="expression" dxfId="5842" priority="2498">
      <formula>IF($B37="Quoting",TRUE,FALSE)</formula>
    </cfRule>
    <cfRule type="expression" dxfId="5841" priority="2499">
      <formula>IF($B37="Quoting",TRUE,FALSE)</formula>
    </cfRule>
    <cfRule type="expression" dxfId="5840" priority="2500">
      <formula>IF($B37="Quoting",TRUE,FALSE)</formula>
    </cfRule>
    <cfRule type="expression" dxfId="5839" priority="2501">
      <formula>IF($B37="Quoting",TRUE,FALSE)</formula>
    </cfRule>
    <cfRule type="expression" dxfId="5838" priority="2502">
      <formula>IF($B37="Quoting",TRUE,FALSE)</formula>
    </cfRule>
    <cfRule type="expression" dxfId="5837" priority="2503">
      <formula>IF($B37="Quoting",TRUE,FALSE)</formula>
    </cfRule>
    <cfRule type="expression" dxfId="5836" priority="2504">
      <formula>IF($B37="Quoting",TRUE,FALSE)</formula>
    </cfRule>
    <cfRule type="expression" dxfId="5835" priority="2505">
      <formula>IF($B37="Quoting",TRUE,FALSE)</formula>
    </cfRule>
    <cfRule type="expression" dxfId="5834" priority="2506">
      <formula>IF($B37="Quoting",TRUE,FALSE)</formula>
    </cfRule>
    <cfRule type="expression" dxfId="5833" priority="2507">
      <formula>IF($B37="Quoting",TRUE,FALSE)</formula>
    </cfRule>
    <cfRule type="expression" dxfId="5832" priority="2508">
      <formula>IF($B37="Quoting",TRUE,FALSE)</formula>
    </cfRule>
    <cfRule type="expression" dxfId="5831" priority="2509">
      <formula>IF($B37="Quoting",TRUE,FALSE)</formula>
    </cfRule>
    <cfRule type="expression" dxfId="5830" priority="2510">
      <formula>IF($B37="Quoting",TRUE,FALSE)</formula>
    </cfRule>
    <cfRule type="expression" dxfId="5829" priority="2511">
      <formula>IF($B37="Quoting",TRUE,FALSE)</formula>
    </cfRule>
    <cfRule type="expression" dxfId="5828" priority="2512">
      <formula>IF($B37="Quoting",TRUE,FALSE)</formula>
    </cfRule>
    <cfRule type="expression" dxfId="5827" priority="2513">
      <formula>IF($B37="Quoting",TRUE,FALSE)</formula>
    </cfRule>
    <cfRule type="expression" dxfId="5826" priority="2514">
      <formula>IF($B37="Quoting",TRUE,FALSE)</formula>
    </cfRule>
    <cfRule type="expression" dxfId="5825" priority="2515">
      <formula>IF($B37="Quoting",TRUE,FALSE)</formula>
    </cfRule>
    <cfRule type="expression" dxfId="5824" priority="2516">
      <formula>IF($B37="Quoting",TRUE,FALSE)</formula>
    </cfRule>
    <cfRule type="expression" dxfId="5823" priority="2517">
      <formula>IF($B37="Quoting",TRUE,FALSE)</formula>
    </cfRule>
    <cfRule type="expression" dxfId="5822" priority="2518">
      <formula>IF($B37="Quoting",TRUE,FALSE)</formula>
    </cfRule>
    <cfRule type="expression" dxfId="5821" priority="2519">
      <formula>IF($B37="Quoting",TRUE,FALSE)</formula>
    </cfRule>
    <cfRule type="expression" dxfId="5820" priority="2520">
      <formula>IF($B37="Quoting",TRUE,FALSE)</formula>
    </cfRule>
    <cfRule type="expression" dxfId="5819" priority="2521">
      <formula>IF($B37="Quoting",TRUE,FALSE)</formula>
    </cfRule>
    <cfRule type="expression" dxfId="5818" priority="2522">
      <formula>IF($B37="Quoting",TRUE,FALSE)</formula>
    </cfRule>
    <cfRule type="expression" dxfId="5817" priority="2523">
      <formula>IF($B37="Quoting",TRUE,FALSE)</formula>
    </cfRule>
    <cfRule type="expression" dxfId="5816" priority="2524">
      <formula>IF($B37="Quoting",TRUE,FALSE)</formula>
    </cfRule>
    <cfRule type="expression" dxfId="5815" priority="2525">
      <formula>IF($B37="Quoting",TRUE,FALSE)</formula>
    </cfRule>
    <cfRule type="expression" dxfId="5814" priority="2526">
      <formula>IF($B37="Quoting",TRUE,FALSE)</formula>
    </cfRule>
    <cfRule type="expression" dxfId="5813" priority="2527">
      <formula>IF($B37="Quoting",TRUE,FALSE)</formula>
    </cfRule>
    <cfRule type="expression" dxfId="5812" priority="2528">
      <formula>IF($B37="Quoting",TRUE,FALSE)</formula>
    </cfRule>
    <cfRule type="expression" dxfId="5811" priority="2529">
      <formula>IF($B37="Quoting",TRUE,FALSE)</formula>
    </cfRule>
    <cfRule type="expression" dxfId="5810" priority="2530">
      <formula>IF($B37="Quoting",TRUE,FALSE)</formula>
    </cfRule>
    <cfRule type="expression" dxfId="5809" priority="2531">
      <formula>IF($B37="Quoting",TRUE,FALSE)</formula>
    </cfRule>
    <cfRule type="expression" dxfId="5808" priority="2532">
      <formula>IF($B37="Quoting",TRUE,FALSE)</formula>
    </cfRule>
    <cfRule type="expression" dxfId="5807" priority="2533">
      <formula>IF($B37="Quoting",TRUE,FALSE)</formula>
    </cfRule>
    <cfRule type="expression" dxfId="5806" priority="2534">
      <formula>IF($B37="Quoting",TRUE,FALSE)</formula>
    </cfRule>
    <cfRule type="expression" dxfId="5805" priority="2535">
      <formula>IF($B37="Quoting",TRUE,FALSE)</formula>
    </cfRule>
    <cfRule type="expression" dxfId="5804" priority="2536">
      <formula>IF($B37="Quoting",TRUE,FALSE)</formula>
    </cfRule>
    <cfRule type="expression" dxfId="5803" priority="2537">
      <formula>IF($B37="Quoting",TRUE,FALSE)</formula>
    </cfRule>
    <cfRule type="expression" dxfId="5802" priority="2538">
      <formula>IF($B37="Quoting",TRUE,FALSE)</formula>
    </cfRule>
    <cfRule type="expression" dxfId="5801" priority="2539">
      <formula>IF($B37="Quoting",TRUE,FALSE)</formula>
    </cfRule>
    <cfRule type="expression" dxfId="5800" priority="2540">
      <formula>IF($B37="Quoting",TRUE,FALSE)</formula>
    </cfRule>
    <cfRule type="expression" dxfId="5799" priority="2541">
      <formula>IF($B37="Quoting",TRUE,FALSE)</formula>
    </cfRule>
    <cfRule type="expression" dxfId="5798" priority="2542">
      <formula>IF($B37="Quoting",TRUE,FALSE)</formula>
    </cfRule>
    <cfRule type="expression" dxfId="5797" priority="2543">
      <formula>IF($B37="Quoting",TRUE,FALSE)</formula>
    </cfRule>
    <cfRule type="expression" dxfId="5796" priority="2544">
      <formula>IF($B37="Quoting",TRUE,FALSE)</formula>
    </cfRule>
    <cfRule type="expression" dxfId="5795" priority="2545">
      <formula>IF($B37="Quoting",TRUE,FALSE)</formula>
    </cfRule>
    <cfRule type="expression" dxfId="5794" priority="2546">
      <formula>IF($B37="Quoting",TRUE,FALSE)</formula>
    </cfRule>
    <cfRule type="expression" dxfId="5793" priority="2547">
      <formula>IF($B37="Quoting",TRUE,FALSE)</formula>
    </cfRule>
    <cfRule type="expression" dxfId="5792" priority="2548">
      <formula>IF($B37="Quoting",TRUE,FALSE)</formula>
    </cfRule>
    <cfRule type="expression" dxfId="5791" priority="2549">
      <formula>IF($B37="Quoting",TRUE,FALSE)</formula>
    </cfRule>
    <cfRule type="expression" dxfId="5790" priority="2550">
      <formula>IF($B37="Quoting",TRUE,FALSE)</formula>
    </cfRule>
    <cfRule type="expression" dxfId="5789" priority="2551">
      <formula>IF($B37="Quoting",TRUE,FALSE)</formula>
    </cfRule>
    <cfRule type="expression" dxfId="5788" priority="2552">
      <formula>IF($B37="Quoting",TRUE,FALSE)</formula>
    </cfRule>
    <cfRule type="expression" dxfId="5787" priority="2553">
      <formula>IF($B37="Quoting",TRUE,FALSE)</formula>
    </cfRule>
    <cfRule type="expression" dxfId="5786" priority="2554">
      <formula>IF($B37="Quoting",TRUE,FALSE)</formula>
    </cfRule>
    <cfRule type="expression" dxfId="5785" priority="2555">
      <formula>IF($B37="Quoting",TRUE,FALSE)</formula>
    </cfRule>
    <cfRule type="expression" dxfId="5784" priority="2556">
      <formula>IF($B37="Quoting",TRUE,FALSE)</formula>
    </cfRule>
    <cfRule type="expression" dxfId="5783" priority="2557">
      <formula>IF($B37="Quoting",TRUE,FALSE)</formula>
    </cfRule>
    <cfRule type="expression" dxfId="5782" priority="2558">
      <formula>IF($B37="Quoting",TRUE,FALSE)</formula>
    </cfRule>
    <cfRule type="expression" dxfId="5781" priority="2559">
      <formula>IF($B37="Quoting",TRUE,FALSE)</formula>
    </cfRule>
    <cfRule type="expression" dxfId="5780" priority="2560">
      <formula>IF($B37="Quoting",TRUE,FALSE)</formula>
    </cfRule>
    <cfRule type="expression" dxfId="5779" priority="2561">
      <formula>IF($B37="Quoting",TRUE,FALSE)</formula>
    </cfRule>
    <cfRule type="expression" dxfId="5778" priority="2562">
      <formula>IF($B37="Quoting",TRUE,FALSE)</formula>
    </cfRule>
    <cfRule type="expression" dxfId="5777" priority="2563">
      <formula>IF($B37="Quoting",TRUE,FALSE)</formula>
    </cfRule>
    <cfRule type="expression" dxfId="5776" priority="2564">
      <formula>IF($B37="Quoting",TRUE,FALSE)</formula>
    </cfRule>
    <cfRule type="expression" dxfId="5775" priority="2565">
      <formula>IF($B37="Quoting",TRUE,FALSE)</formula>
    </cfRule>
    <cfRule type="expression" dxfId="5774" priority="2566">
      <formula>IF($B37="Quoting",TRUE,FALSE)</formula>
    </cfRule>
    <cfRule type="expression" dxfId="5773" priority="2567">
      <formula>IF($B37="Quoting",TRUE,FALSE)</formula>
    </cfRule>
    <cfRule type="expression" dxfId="5772" priority="2568">
      <formula>IF($B37="Quoting",TRUE,FALSE)</formula>
    </cfRule>
    <cfRule type="expression" dxfId="5771" priority="2569">
      <formula>IF($B37="Quoting",TRUE,FALSE)</formula>
    </cfRule>
    <cfRule type="expression" dxfId="5770" priority="2570">
      <formula>IF($B37="Quoting",TRUE,FALSE)</formula>
    </cfRule>
    <cfRule type="expression" dxfId="5769" priority="2571">
      <formula>IF($B37="Quoting",TRUE,FALSE)</formula>
    </cfRule>
    <cfRule type="expression" dxfId="5768" priority="2572">
      <formula>IF($B37="Quoting",TRUE,FALSE)</formula>
    </cfRule>
    <cfRule type="expression" dxfId="5767" priority="2573">
      <formula>IF($B37="Quoting",TRUE,FALSE)</formula>
    </cfRule>
    <cfRule type="expression" dxfId="5766" priority="2574">
      <formula>IF($B37="Quoting",TRUE,FALSE)</formula>
    </cfRule>
    <cfRule type="expression" dxfId="5765" priority="2575">
      <formula>IF($B37="Quoting",TRUE,FALSE)</formula>
    </cfRule>
    <cfRule type="expression" dxfId="5764" priority="2576">
      <formula>IF($B37="Quoting",TRUE,FALSE)</formula>
    </cfRule>
    <cfRule type="expression" dxfId="5763" priority="2577">
      <formula>IF($B37="Quoting",TRUE,FALSE)</formula>
    </cfRule>
    <cfRule type="expression" dxfId="5762" priority="2578">
      <formula>IF($B37="Quoting",TRUE,FALSE)</formula>
    </cfRule>
    <cfRule type="expression" dxfId="5761" priority="2579">
      <formula>IF($B37="Quoting",TRUE,FALSE)</formula>
    </cfRule>
    <cfRule type="expression" dxfId="5760" priority="2580">
      <formula>IF($B37="Quoting",TRUE,FALSE)</formula>
    </cfRule>
    <cfRule type="expression" dxfId="5759" priority="2581">
      <formula>IF($B37="Quoting",TRUE,FALSE)</formula>
    </cfRule>
    <cfRule type="expression" dxfId="5758" priority="2582">
      <formula>IF($B37="Quoting",TRUE,FALSE)</formula>
    </cfRule>
    <cfRule type="expression" dxfId="5757" priority="2583">
      <formula>IF($B37="Quoting",TRUE,FALSE)</formula>
    </cfRule>
    <cfRule type="expression" dxfId="5756" priority="2584">
      <formula>IF($B37="Quoting",TRUE,FALSE)</formula>
    </cfRule>
    <cfRule type="expression" dxfId="5755" priority="2585">
      <formula>IF($B37="Quoting",TRUE,FALSE)</formula>
    </cfRule>
    <cfRule type="expression" dxfId="5754" priority="2586">
      <formula>IF($B37="Quoting",TRUE,FALSE)</formula>
    </cfRule>
    <cfRule type="expression" dxfId="5753" priority="2587">
      <formula>IF($B37="Quoting",TRUE,FALSE)</formula>
    </cfRule>
    <cfRule type="expression" dxfId="5752" priority="2588">
      <formula>IF($B37="Quoting",TRUE,FALSE)</formula>
    </cfRule>
    <cfRule type="expression" dxfId="5751" priority="2589">
      <formula>IF($B37="Quoting",TRUE,FALSE)</formula>
    </cfRule>
    <cfRule type="expression" dxfId="5750" priority="2590">
      <formula>IF($B37="Quoting",TRUE,FALSE)</formula>
    </cfRule>
    <cfRule type="expression" dxfId="5749" priority="2591">
      <formula>IF($B37="Quoting",TRUE,FALSE)</formula>
    </cfRule>
    <cfRule type="expression" dxfId="5748" priority="2592">
      <formula>IF($B37="Quoting",TRUE,FALSE)</formula>
    </cfRule>
    <cfRule type="expression" dxfId="5747" priority="2593">
      <formula>IF($B37="Quoting",TRUE,FALSE)</formula>
    </cfRule>
    <cfRule type="expression" dxfId="5746" priority="2594">
      <formula>IF($B37="Quoting",TRUE,FALSE)</formula>
    </cfRule>
    <cfRule type="expression" dxfId="5745" priority="2595">
      <formula>IF($B37="Quoting",TRUE,FALSE)</formula>
    </cfRule>
    <cfRule type="expression" dxfId="5744" priority="2596">
      <formula>IF($B37="Quoting",TRUE,FALSE)</formula>
    </cfRule>
    <cfRule type="expression" dxfId="5743" priority="2597">
      <formula>IF($B37="Quoting",TRUE,FALSE)</formula>
    </cfRule>
    <cfRule type="expression" dxfId="5742" priority="2598">
      <formula>IF($B37="Quoting",TRUE,FALSE)</formula>
    </cfRule>
    <cfRule type="expression" dxfId="5741" priority="2599">
      <formula>IF($B37="Quoting",TRUE,FALSE)</formula>
    </cfRule>
    <cfRule type="expression" dxfId="5740" priority="2600">
      <formula>IF($B37="Quoting",TRUE,FALSE)</formula>
    </cfRule>
    <cfRule type="expression" dxfId="5739" priority="2601">
      <formula>IF($B37="Quoting",TRUE,FALSE)</formula>
    </cfRule>
    <cfRule type="expression" dxfId="5738" priority="2602">
      <formula>IF($B37="Quoting",TRUE,FALSE)</formula>
    </cfRule>
    <cfRule type="expression" dxfId="5737" priority="2603">
      <formula>IF($B37="Quoting",TRUE,FALSE)</formula>
    </cfRule>
    <cfRule type="expression" dxfId="5736" priority="2604">
      <formula>IF($B37="Quoting",TRUE,FALSE)</formula>
    </cfRule>
    <cfRule type="expression" dxfId="5735" priority="2605">
      <formula>IF($B37="Quoting",TRUE,FALSE)</formula>
    </cfRule>
    <cfRule type="expression" dxfId="5734" priority="2606">
      <formula>IF($B37="Quoting",TRUE,FALSE)</formula>
    </cfRule>
    <cfRule type="expression" dxfId="5733" priority="2607">
      <formula>IF($B37="Quoting",TRUE,FALSE)</formula>
    </cfRule>
    <cfRule type="expression" dxfId="5732" priority="2608">
      <formula>IF($B37="Quoting",TRUE,FALSE)</formula>
    </cfRule>
    <cfRule type="expression" dxfId="5731" priority="2609">
      <formula>IF($B37="Quoting",TRUE,FALSE)</formula>
    </cfRule>
    <cfRule type="expression" dxfId="5730" priority="2610">
      <formula>IF($B37="Quoting",TRUE,FALSE)</formula>
    </cfRule>
    <cfRule type="expression" dxfId="5729" priority="2611">
      <formula>IF($B37="Quoting",TRUE,FALSE)</formula>
    </cfRule>
    <cfRule type="expression" dxfId="5728" priority="2612">
      <formula>IF($B37="Quoting",TRUE,FALSE)</formula>
    </cfRule>
    <cfRule type="expression" dxfId="5727" priority="2613">
      <formula>IF($B37="Quoting",TRUE,FALSE)</formula>
    </cfRule>
    <cfRule type="expression" dxfId="5726" priority="2614">
      <formula>IF($B37="Quoting",TRUE,FALSE)</formula>
    </cfRule>
    <cfRule type="expression" dxfId="5725" priority="2615">
      <formula>IF($B37="Quoting",TRUE,FALSE)</formula>
    </cfRule>
    <cfRule type="expression" dxfId="5724" priority="2616">
      <formula>IF($B37="Quoting",TRUE,FALSE)</formula>
    </cfRule>
    <cfRule type="expression" dxfId="5723" priority="2617">
      <formula>IF($B37="Quoting",TRUE,FALSE)</formula>
    </cfRule>
    <cfRule type="expression" dxfId="5722" priority="2618">
      <formula>IF($B37="Quoting",TRUE,FALSE)</formula>
    </cfRule>
    <cfRule type="expression" dxfId="5721" priority="2619">
      <formula>IF($B37="Quoting",TRUE,FALSE)</formula>
    </cfRule>
    <cfRule type="expression" dxfId="5720" priority="2620">
      <formula>IF($B37="Quoting",TRUE,FALSE)</formula>
    </cfRule>
    <cfRule type="expression" dxfId="5719" priority="2621">
      <formula>IF($B37="Quoting",TRUE,FALSE)</formula>
    </cfRule>
    <cfRule type="expression" dxfId="5718" priority="2622">
      <formula>IF($B37="Quoting",TRUE,FALSE)</formula>
    </cfRule>
    <cfRule type="expression" dxfId="5717" priority="2623">
      <formula>IF($B37="Quoting",TRUE,FALSE)</formula>
    </cfRule>
    <cfRule type="expression" dxfId="5716" priority="2624">
      <formula>IF($B37="Quoting",TRUE,FALSE)</formula>
    </cfRule>
    <cfRule type="expression" dxfId="5715" priority="2625">
      <formula>IF($B37="Quoting",TRUE,FALSE)</formula>
    </cfRule>
    <cfRule type="expression" dxfId="5714" priority="2626">
      <formula>IF($B37="Quoting",TRUE,FALSE)</formula>
    </cfRule>
    <cfRule type="expression" dxfId="5713" priority="2627">
      <formula>IF($B37="Quoting",TRUE,FALSE)</formula>
    </cfRule>
    <cfRule type="expression" dxfId="5712" priority="2628">
      <formula>IF($B37="Quoting",TRUE,FALSE)</formula>
    </cfRule>
    <cfRule type="expression" dxfId="5711" priority="2629">
      <formula>IF($B37="Quoting",TRUE,FALSE)</formula>
    </cfRule>
    <cfRule type="expression" dxfId="5710" priority="2630">
      <formula>IF($B37="Quoting",TRUE,FALSE)</formula>
    </cfRule>
    <cfRule type="expression" dxfId="5709" priority="2631">
      <formula>IF($B37="Quoting",TRUE,FALSE)</formula>
    </cfRule>
    <cfRule type="expression" dxfId="5708" priority="2632">
      <formula>IF($B37="Quoting",TRUE,FALSE)</formula>
    </cfRule>
    <cfRule type="expression" dxfId="5707" priority="2633">
      <formula>IF($B37="Quoting",TRUE,FALSE)</formula>
    </cfRule>
    <cfRule type="expression" dxfId="5706" priority="2634">
      <formula>IF($B37="Quoting",TRUE,FALSE)</formula>
    </cfRule>
    <cfRule type="expression" dxfId="5705" priority="2635">
      <formula>IF($B37="Quoting",TRUE,FALSE)</formula>
    </cfRule>
    <cfRule type="expression" dxfId="5704" priority="2636">
      <formula>IF($B37="Quoting",TRUE,FALSE)</formula>
    </cfRule>
    <cfRule type="expression" dxfId="5703" priority="2637">
      <formula>IF($B37="Quoting",TRUE,FALSE)</formula>
    </cfRule>
    <cfRule type="expression" dxfId="5702" priority="2638">
      <formula>IF($B37="Quoting",TRUE,FALSE)</formula>
    </cfRule>
    <cfRule type="expression" dxfId="5701" priority="2639">
      <formula>IF($B37="Quoting",TRUE,FALSE)</formula>
    </cfRule>
    <cfRule type="expression" dxfId="5700" priority="2640">
      <formula>IF($B37="Quoting",TRUE,FALSE)</formula>
    </cfRule>
    <cfRule type="expression" dxfId="5699" priority="2641">
      <formula>IF($B37="Quoting",TRUE,FALSE)</formula>
    </cfRule>
    <cfRule type="expression" dxfId="5698" priority="2642">
      <formula>IF($B37="Quoting",TRUE,FALSE)</formula>
    </cfRule>
    <cfRule type="expression" dxfId="5697" priority="2643">
      <formula>IF($B37="Quoting",TRUE,FALSE)</formula>
    </cfRule>
    <cfRule type="expression" dxfId="5696" priority="2644">
      <formula>IF($B37="Quoting",TRUE,FALSE)</formula>
    </cfRule>
    <cfRule type="expression" dxfId="5695" priority="2645">
      <formula>IF($B37="Quoting",TRUE,FALSE)</formula>
    </cfRule>
    <cfRule type="expression" dxfId="5694" priority="2646">
      <formula>IF($B37="Quoting",TRUE,FALSE)</formula>
    </cfRule>
    <cfRule type="expression" dxfId="5693" priority="2647">
      <formula>IF($B37="Quoting",TRUE,FALSE)</formula>
    </cfRule>
    <cfRule type="expression" dxfId="5692" priority="2648">
      <formula>IF($B37="Quoting",TRUE,FALSE)</formula>
    </cfRule>
    <cfRule type="expression" dxfId="5691" priority="2649">
      <formula>IF($B37="Quoting",TRUE,FALSE)</formula>
    </cfRule>
    <cfRule type="expression" dxfId="5690" priority="2650">
      <formula>IF($B37="Quoting",TRUE,FALSE)</formula>
    </cfRule>
    <cfRule type="expression" dxfId="5689" priority="2651">
      <formula>IF($B37="Quoting",TRUE,FALSE)</formula>
    </cfRule>
    <cfRule type="expression" dxfId="5688" priority="2652">
      <formula>IF($B37="Quoting",TRUE,FALSE)</formula>
    </cfRule>
    <cfRule type="expression" dxfId="5687" priority="2653">
      <formula>IF($B37="Quoting",TRUE,FALSE)</formula>
    </cfRule>
    <cfRule type="expression" dxfId="5686" priority="2654">
      <formula>IF($B37="Quoting",TRUE,FALSE)</formula>
    </cfRule>
    <cfRule type="expression" dxfId="5685" priority="2655">
      <formula>IF($B37="Quoting",TRUE,FALSE)</formula>
    </cfRule>
    <cfRule type="expression" dxfId="5684" priority="2656">
      <formula>IF($B37="Quoting",TRUE,FALSE)</formula>
    </cfRule>
    <cfRule type="expression" dxfId="5683" priority="2657">
      <formula>IF($B37="Quoting",TRUE,FALSE)</formula>
    </cfRule>
    <cfRule type="expression" dxfId="5682" priority="2658">
      <formula>IF($B37="Quoting",TRUE,FALSE)</formula>
    </cfRule>
    <cfRule type="expression" dxfId="5681" priority="2659">
      <formula>IF($B37="Quoting",TRUE,FALSE)</formula>
    </cfRule>
    <cfRule type="expression" dxfId="5680" priority="2660">
      <formula>IF($B37="Quoting",TRUE,FALSE)</formula>
    </cfRule>
    <cfRule type="expression" dxfId="5679" priority="2661">
      <formula>IF($B37="Quoting",TRUE,FALSE)</formula>
    </cfRule>
    <cfRule type="expression" dxfId="5678" priority="2662">
      <formula>IF($B37="Quoting",TRUE,FALSE)</formula>
    </cfRule>
    <cfRule type="expression" dxfId="5677" priority="2663">
      <formula>IF($B37="Quoting",TRUE,FALSE)</formula>
    </cfRule>
    <cfRule type="expression" dxfId="5676" priority="2664">
      <formula>IF($B37="Quoting",TRUE,FALSE)</formula>
    </cfRule>
    <cfRule type="expression" dxfId="5675" priority="2665">
      <formula>IF($B37="Quoting",TRUE,FALSE)</formula>
    </cfRule>
    <cfRule type="expression" dxfId="5674" priority="2666">
      <formula>IF($B37="Quoting",TRUE,FALSE)</formula>
    </cfRule>
    <cfRule type="expression" dxfId="5673" priority="2667">
      <formula>IF($B37="Quoting",TRUE,FALSE)</formula>
    </cfRule>
    <cfRule type="expression" dxfId="5672" priority="2668">
      <formula>IF($B37="Quoting",TRUE,FALSE)</formula>
    </cfRule>
    <cfRule type="expression" dxfId="5671" priority="2669">
      <formula>IF($B37="Quoting",TRUE,FALSE)</formula>
    </cfRule>
    <cfRule type="expression" dxfId="5670" priority="2670">
      <formula>IF($B37="Quoting",TRUE,FALSE)</formula>
    </cfRule>
    <cfRule type="expression" dxfId="5669" priority="2671">
      <formula>IF($B37="Quoting",TRUE,FALSE)</formula>
    </cfRule>
    <cfRule type="expression" dxfId="5668" priority="2672">
      <formula>IF($B37="Quoting",TRUE,FALSE)</formula>
    </cfRule>
    <cfRule type="expression" dxfId="5667" priority="2673">
      <formula>IF($B37="Quoting",TRUE,FALSE)</formula>
    </cfRule>
    <cfRule type="expression" dxfId="5666" priority="2674">
      <formula>IF($B37="Quoting",TRUE,FALSE)</formula>
    </cfRule>
    <cfRule type="expression" dxfId="5665" priority="2675">
      <formula>IF($B37="Quoting",TRUE,FALSE)</formula>
    </cfRule>
    <cfRule type="expression" dxfId="5664" priority="2676">
      <formula>IF($B37="Quoting",TRUE,FALSE)</formula>
    </cfRule>
    <cfRule type="expression" dxfId="5663" priority="2677">
      <formula>IF($B37="Quoting",TRUE,FALSE)</formula>
    </cfRule>
    <cfRule type="expression" dxfId="5662" priority="2678">
      <formula>IF($B37="Quoting",TRUE,FALSE)</formula>
    </cfRule>
    <cfRule type="expression" dxfId="5661" priority="2679">
      <formula>IF($B37="Quoting",TRUE,FALSE)</formula>
    </cfRule>
    <cfRule type="expression" dxfId="5660" priority="2680">
      <formula>IF($B37="Quoting",TRUE,FALSE)</formula>
    </cfRule>
    <cfRule type="expression" dxfId="5659" priority="2681">
      <formula>IF($B37="Quoting",TRUE,FALSE)</formula>
    </cfRule>
    <cfRule type="expression" dxfId="5658" priority="2682">
      <formula>IF($B37="Quoting",TRUE,FALSE)</formula>
    </cfRule>
    <cfRule type="expression" dxfId="5657" priority="2683">
      <formula>IF($B37="Quoting",TRUE,FALSE)</formula>
    </cfRule>
    <cfRule type="expression" dxfId="5656" priority="2684">
      <formula>IF($B37="Quoting",TRUE,FALSE)</formula>
    </cfRule>
    <cfRule type="expression" dxfId="5655" priority="2685">
      <formula>IF($B37="Quoting",TRUE,FALSE)</formula>
    </cfRule>
    <cfRule type="expression" dxfId="5654" priority="2686">
      <formula>IF($B37="Quoting",TRUE,FALSE)</formula>
    </cfRule>
    <cfRule type="expression" dxfId="5653" priority="2687">
      <formula>IF($B37="Quoting",TRUE,FALSE)</formula>
    </cfRule>
    <cfRule type="expression" dxfId="5652" priority="2688">
      <formula>IF($B37="Quoting",TRUE,FALSE)</formula>
    </cfRule>
    <cfRule type="expression" dxfId="5651" priority="2689">
      <formula>IF($B37="Quoting",TRUE,FALSE)</formula>
    </cfRule>
    <cfRule type="expression" dxfId="5650" priority="2690">
      <formula>IF($B37="Quoting",TRUE,FALSE)</formula>
    </cfRule>
    <cfRule type="expression" dxfId="5649" priority="2691">
      <formula>IF($B37="Quoting",TRUE,FALSE)</formula>
    </cfRule>
    <cfRule type="expression" dxfId="5648" priority="2692">
      <formula>IF($B37="Quoting",TRUE,FALSE)</formula>
    </cfRule>
    <cfRule type="expression" dxfId="5647" priority="2693">
      <formula>IF($B37="Quoting",TRUE,FALSE)</formula>
    </cfRule>
    <cfRule type="expression" dxfId="5646" priority="2694">
      <formula>IF($B37="Quoting",TRUE,FALSE)</formula>
    </cfRule>
    <cfRule type="expression" dxfId="5645" priority="2695">
      <formula>IF($B37="Quoting",TRUE,FALSE)</formula>
    </cfRule>
    <cfRule type="expression" dxfId="5644" priority="2696">
      <formula>IF($B37="Quoting",TRUE,FALSE)</formula>
    </cfRule>
    <cfRule type="expression" dxfId="5643" priority="2697">
      <formula>IF($B37="Quoting",TRUE,FALSE)</formula>
    </cfRule>
    <cfRule type="expression" dxfId="5642" priority="2698">
      <formula>IF($B37="Quoting",TRUE,FALSE)</formula>
    </cfRule>
    <cfRule type="expression" dxfId="5641" priority="2699">
      <formula>IF($B37="Quoting",TRUE,FALSE)</formula>
    </cfRule>
    <cfRule type="expression" dxfId="5640" priority="2700">
      <formula>IF($B37="Quoting",TRUE,FALSE)</formula>
    </cfRule>
    <cfRule type="expression" dxfId="5639" priority="2701">
      <formula>IF($B37="Quoting",TRUE,FALSE)</formula>
    </cfRule>
    <cfRule type="expression" dxfId="5638" priority="2702">
      <formula>IF($B37="Quoting",TRUE,FALSE)</formula>
    </cfRule>
    <cfRule type="expression" dxfId="5637" priority="2703">
      <formula>IF($B37="Quoting",TRUE,FALSE)</formula>
    </cfRule>
    <cfRule type="expression" dxfId="5636" priority="2704">
      <formula>IF($B37="Quoting",TRUE,FALSE)</formula>
    </cfRule>
    <cfRule type="expression" dxfId="5635" priority="2705">
      <formula>IF($B37="Quoting",TRUE,FALSE)</formula>
    </cfRule>
    <cfRule type="expression" dxfId="5634" priority="2706">
      <formula>IF($B37="Quoting",TRUE,FALSE)</formula>
    </cfRule>
    <cfRule type="expression" dxfId="5633" priority="2707">
      <formula>IF($B37="Quoting",TRUE,FALSE)</formula>
    </cfRule>
    <cfRule type="expression" dxfId="5632" priority="2708">
      <formula>IF($B37="Quoting",TRUE,FALSE)</formula>
    </cfRule>
    <cfRule type="expression" dxfId="5631" priority="2709">
      <formula>IF($B37="Quoting",TRUE,FALSE)</formula>
    </cfRule>
    <cfRule type="expression" dxfId="5630" priority="2710">
      <formula>IF($B37="Quoting",TRUE,FALSE)</formula>
    </cfRule>
    <cfRule type="expression" dxfId="5629" priority="2711">
      <formula>IF($B37="Quoting",TRUE,FALSE)</formula>
    </cfRule>
    <cfRule type="expression" dxfId="5628" priority="2712">
      <formula>IF($B37="Quoting",TRUE,FALSE)</formula>
    </cfRule>
    <cfRule type="expression" dxfId="5627" priority="2713">
      <formula>IF($B37="Quoting",TRUE,FALSE)</formula>
    </cfRule>
    <cfRule type="expression" dxfId="5626" priority="2714">
      <formula>IF($B37="Quoting",TRUE,FALSE)</formula>
    </cfRule>
    <cfRule type="expression" dxfId="5625" priority="2715">
      <formula>IF($B37="Quoting",TRUE,FALSE)</formula>
    </cfRule>
    <cfRule type="expression" dxfId="5624" priority="2716">
      <formula>IF($B37="Quoting",TRUE,FALSE)</formula>
    </cfRule>
    <cfRule type="expression" dxfId="5623" priority="2717">
      <formula>IF($B37="Quoting",TRUE,FALSE)</formula>
    </cfRule>
    <cfRule type="expression" dxfId="5622" priority="2718">
      <formula>IF($B37="Quoting",TRUE,FALSE)</formula>
    </cfRule>
    <cfRule type="expression" dxfId="5621" priority="2719">
      <formula>IF($B37="Quoting",TRUE,FALSE)</formula>
    </cfRule>
    <cfRule type="expression" dxfId="5620" priority="2720">
      <formula>IF($B37="Quoting",TRUE,FALSE)</formula>
    </cfRule>
    <cfRule type="expression" dxfId="5619" priority="2721">
      <formula>IF($B37="Quoting",TRUE,FALSE)</formula>
    </cfRule>
    <cfRule type="expression" dxfId="5618" priority="2722">
      <formula>IF($B37="Quoting",TRUE,FALSE)</formula>
    </cfRule>
    <cfRule type="expression" dxfId="5617" priority="2723">
      <formula>IF($B37="Quoting",TRUE,FALSE)</formula>
    </cfRule>
    <cfRule type="expression" dxfId="5616" priority="2724">
      <formula>IF($B37="Quoting",TRUE,FALSE)</formula>
    </cfRule>
    <cfRule type="expression" dxfId="5615" priority="2725">
      <formula>IF($B37="Quoting",TRUE,FALSE)</formula>
    </cfRule>
    <cfRule type="expression" dxfId="5614" priority="2726">
      <formula>IF($B37="Quoting",TRUE,FALSE)</formula>
    </cfRule>
    <cfRule type="expression" dxfId="5613" priority="2727">
      <formula>IF($B37="Quoting",TRUE,FALSE)</formula>
    </cfRule>
    <cfRule type="expression" dxfId="5612" priority="2728">
      <formula>IF($B37="Quoting",TRUE,FALSE)</formula>
    </cfRule>
    <cfRule type="expression" dxfId="5611" priority="2729">
      <formula>IF($B37="Quoting",TRUE,FALSE)</formula>
    </cfRule>
    <cfRule type="expression" dxfId="5610" priority="2730">
      <formula>IF($B37="Quoting",TRUE,FALSE)</formula>
    </cfRule>
    <cfRule type="expression" dxfId="5609" priority="2731">
      <formula>IF($B37="Quoting",TRUE,FALSE)</formula>
    </cfRule>
    <cfRule type="expression" dxfId="5608" priority="2732">
      <formula>IF($B37="Quoting",TRUE,FALSE)</formula>
    </cfRule>
    <cfRule type="expression" dxfId="5607" priority="2733">
      <formula>IF($B37="Quoting",TRUE,FALSE)</formula>
    </cfRule>
    <cfRule type="expression" dxfId="5606" priority="2734">
      <formula>IF($B37="Quoting",TRUE,FALSE)</formula>
    </cfRule>
    <cfRule type="expression" dxfId="5605" priority="2735">
      <formula>IF($B37="Quoting",TRUE,FALSE)</formula>
    </cfRule>
    <cfRule type="expression" dxfId="5604" priority="2736">
      <formula>IF($B37="Quoting",TRUE,FALSE)</formula>
    </cfRule>
    <cfRule type="expression" dxfId="5603" priority="2737">
      <formula>IF($B37="Quoting",TRUE,FALSE)</formula>
    </cfRule>
    <cfRule type="expression" dxfId="5602" priority="2738">
      <formula>IF($B37="Quoting",TRUE,FALSE)</formula>
    </cfRule>
    <cfRule type="expression" dxfId="5601" priority="2739">
      <formula>IF($B37="Quoting",TRUE,FALSE)</formula>
    </cfRule>
    <cfRule type="expression" dxfId="5600" priority="2740">
      <formula>IF($B37="Quoting",TRUE,FALSE)</formula>
    </cfRule>
    <cfRule type="expression" dxfId="5599" priority="2741">
      <formula>IF($B37="Quoting",TRUE,FALSE)</formula>
    </cfRule>
    <cfRule type="expression" dxfId="5598" priority="2742">
      <formula>IF($B37="Quoting",TRUE,FALSE)</formula>
    </cfRule>
    <cfRule type="expression" dxfId="5597" priority="2743">
      <formula>IF($B37="Quoting",TRUE,FALSE)</formula>
    </cfRule>
    <cfRule type="expression" dxfId="5596" priority="2744">
      <formula>IF($B37="Quoting",TRUE,FALSE)</formula>
    </cfRule>
    <cfRule type="expression" dxfId="5595" priority="2745">
      <formula>IF($B37="Quoting",TRUE,FALSE)</formula>
    </cfRule>
    <cfRule type="expression" dxfId="5594" priority="2746">
      <formula>IF($B37="Quoting",TRUE,FALSE)</formula>
    </cfRule>
    <cfRule type="expression" dxfId="5593" priority="2747">
      <formula>IF($B37="Quoting",TRUE,FALSE)</formula>
    </cfRule>
    <cfRule type="expression" dxfId="5592" priority="2748">
      <formula>IF($B37="Quoting",TRUE,FALSE)</formula>
    </cfRule>
    <cfRule type="expression" dxfId="5591" priority="2749">
      <formula>IF($B37="Quoting",TRUE,FALSE)</formula>
    </cfRule>
    <cfRule type="expression" dxfId="5590" priority="2750">
      <formula>IF($B37="Quoting",TRUE,FALSE)</formula>
    </cfRule>
    <cfRule type="expression" dxfId="5589" priority="2751">
      <formula>IF($B37="Quoting",TRUE,FALSE)</formula>
    </cfRule>
    <cfRule type="expression" dxfId="5588" priority="2752">
      <formula>IF($B37="Quoting",TRUE,FALSE)</formula>
    </cfRule>
    <cfRule type="expression" dxfId="5587" priority="2753">
      <formula>IF($B37="Quoting",TRUE,FALSE)</formula>
    </cfRule>
    <cfRule type="expression" dxfId="5586" priority="2754">
      <formula>IF($B37="Quoting",TRUE,FALSE)</formula>
    </cfRule>
    <cfRule type="expression" dxfId="5585" priority="2755">
      <formula>IF($B37="Quoting",TRUE,FALSE)</formula>
    </cfRule>
    <cfRule type="expression" dxfId="5584" priority="2756">
      <formula>IF($B37="Quoting",TRUE,FALSE)</formula>
    </cfRule>
    <cfRule type="expression" dxfId="5583" priority="2757">
      <formula>IF($B37="Quoting",TRUE,FALSE)</formula>
    </cfRule>
    <cfRule type="expression" dxfId="5582" priority="2758">
      <formula>IF($B37="Quoting",TRUE,FALSE)</formula>
    </cfRule>
    <cfRule type="expression" dxfId="5581" priority="2759">
      <formula>IF($B37="Quoting",TRUE,FALSE)</formula>
    </cfRule>
    <cfRule type="expression" dxfId="5580" priority="2760">
      <formula>IF($B37="Quoting",TRUE,FALSE)</formula>
    </cfRule>
    <cfRule type="expression" dxfId="5579" priority="2761">
      <formula>IF($B37="Quoting",TRUE,FALSE)</formula>
    </cfRule>
    <cfRule type="expression" dxfId="5578" priority="2762">
      <formula>IF($B37="Quoting",TRUE,FALSE)</formula>
    </cfRule>
    <cfRule type="expression" dxfId="5577" priority="2763">
      <formula>IF($B37="Quoting",TRUE,FALSE)</formula>
    </cfRule>
    <cfRule type="expression" dxfId="5576" priority="2764">
      <formula>IF($B37="Quoting",TRUE,FALSE)</formula>
    </cfRule>
    <cfRule type="expression" dxfId="5575" priority="2765">
      <formula>IF($B37="Quoting",TRUE,FALSE)</formula>
    </cfRule>
    <cfRule type="expression" dxfId="5574" priority="2766">
      <formula>IF($B37="Quoting",TRUE,FALSE)</formula>
    </cfRule>
    <cfRule type="expression" dxfId="5573" priority="2767">
      <formula>IF($B37="Quoting",TRUE,FALSE)</formula>
    </cfRule>
    <cfRule type="expression" dxfId="5572" priority="2768">
      <formula>IF($B37="Quoting",TRUE,FALSE)</formula>
    </cfRule>
    <cfRule type="expression" dxfId="5571" priority="2769">
      <formula>IF($B37="Quoting",TRUE,FALSE)</formula>
    </cfRule>
    <cfRule type="expression" dxfId="5570" priority="2770">
      <formula>IF($B37="Quoting",TRUE,FALSE)</formula>
    </cfRule>
    <cfRule type="expression" dxfId="5569" priority="2771">
      <formula>IF($B37="Quoting",TRUE,FALSE)</formula>
    </cfRule>
    <cfRule type="expression" dxfId="5568" priority="2772">
      <formula>IF($B37="Quoting",TRUE,FALSE)</formula>
    </cfRule>
    <cfRule type="expression" dxfId="5567" priority="2773">
      <formula>IF($B37="Quoting",TRUE,FALSE)</formula>
    </cfRule>
    <cfRule type="expression" dxfId="5566" priority="2774">
      <formula>IF($B37="Quoting",TRUE,FALSE)</formula>
    </cfRule>
    <cfRule type="expression" dxfId="5565" priority="2775">
      <formula>IF($B37="Quoting",TRUE,FALSE)</formula>
    </cfRule>
    <cfRule type="expression" dxfId="5564" priority="2776">
      <formula>IF($B37="Quoting",TRUE,FALSE)</formula>
    </cfRule>
    <cfRule type="expression" dxfId="5563" priority="2777">
      <formula>IF($B37="Quoting",TRUE,FALSE)</formula>
    </cfRule>
    <cfRule type="expression" dxfId="5562" priority="2778">
      <formula>IF($B37="Quoting",TRUE,FALSE)</formula>
    </cfRule>
    <cfRule type="expression" dxfId="5561" priority="2779">
      <formula>IF($B37="Quoting",TRUE,FALSE)</formula>
    </cfRule>
    <cfRule type="expression" dxfId="5560" priority="2780">
      <formula>IF($B37="Quoting",TRUE,FALSE)</formula>
    </cfRule>
    <cfRule type="expression" dxfId="5559" priority="2781">
      <formula>IF($B37="Quoting",TRUE,FALSE)</formula>
    </cfRule>
    <cfRule type="expression" dxfId="5558" priority="2782">
      <formula>IF($B37="Quoting",TRUE,FALSE)</formula>
    </cfRule>
    <cfRule type="expression" dxfId="5557" priority="2783">
      <formula>IF($B37="Quoting",TRUE,FALSE)</formula>
    </cfRule>
    <cfRule type="expression" dxfId="5556" priority="2784">
      <formula>IF($B37="Quoting",TRUE,FALSE)</formula>
    </cfRule>
    <cfRule type="expression" dxfId="5555" priority="2785">
      <formula>IF($B37="Quoting",TRUE,FALSE)</formula>
    </cfRule>
    <cfRule type="expression" dxfId="5554" priority="2786">
      <formula>IF($B37="Quoting",TRUE,FALSE)</formula>
    </cfRule>
    <cfRule type="expression" dxfId="5553" priority="2787">
      <formula>IF($B37="Quoting",TRUE,FALSE)</formula>
    </cfRule>
    <cfRule type="expression" dxfId="5552" priority="2788">
      <formula>IF($B37="Quoting",TRUE,FALSE)</formula>
    </cfRule>
    <cfRule type="expression" dxfId="5551" priority="2789">
      <formula>IF($B37="Quoting",TRUE,FALSE)</formula>
    </cfRule>
    <cfRule type="expression" dxfId="5550" priority="2790">
      <formula>IF($B37="Quoting",TRUE,FALSE)</formula>
    </cfRule>
    <cfRule type="expression" dxfId="5549" priority="2791">
      <formula>IF($B37="Quoting",TRUE,FALSE)</formula>
    </cfRule>
    <cfRule type="expression" dxfId="5548" priority="2792">
      <formula>IF($B37="Quoting",TRUE,FALSE)</formula>
    </cfRule>
    <cfRule type="expression" dxfId="5547" priority="2793">
      <formula>IF($B37="Quoting",TRUE,FALSE)</formula>
    </cfRule>
    <cfRule type="expression" dxfId="5546" priority="2794">
      <formula>IF($B37="Quoting",TRUE,FALSE)</formula>
    </cfRule>
    <cfRule type="expression" dxfId="5545" priority="2795">
      <formula>IF($B37="Quoting",TRUE,FALSE)</formula>
    </cfRule>
    <cfRule type="expression" dxfId="5544" priority="2796">
      <formula>IF($B37="Quoting",TRUE,FALSE)</formula>
    </cfRule>
    <cfRule type="expression" dxfId="5543" priority="2797">
      <formula>IF($B37="Quoting",TRUE,FALSE)</formula>
    </cfRule>
    <cfRule type="expression" dxfId="5542" priority="2798">
      <formula>IF($B37="Quoting",TRUE,FALSE)</formula>
    </cfRule>
    <cfRule type="expression" dxfId="5541" priority="2799">
      <formula>IF($B37="Quoting",TRUE,FALSE)</formula>
    </cfRule>
    <cfRule type="expression" dxfId="5540" priority="2800">
      <formula>IF($B37="Quoting",TRUE,FALSE)</formula>
    </cfRule>
    <cfRule type="expression" dxfId="5539" priority="2801">
      <formula>IF($B37="Quoting",TRUE,FALSE)</formula>
    </cfRule>
    <cfRule type="expression" dxfId="5538" priority="2802">
      <formula>IF($B37="Quoting",TRUE,FALSE)</formula>
    </cfRule>
    <cfRule type="expression" dxfId="5537" priority="2803">
      <formula>IF($B37="Quoting",TRUE,FALSE)</formula>
    </cfRule>
    <cfRule type="expression" dxfId="5536" priority="2804">
      <formula>IF($B37="Quoting",TRUE,FALSE)</formula>
    </cfRule>
    <cfRule type="expression" dxfId="5535" priority="2805">
      <formula>IF($B37="Quoting",TRUE,FALSE)</formula>
    </cfRule>
    <cfRule type="expression" dxfId="5534" priority="2806">
      <formula>IF($B37="Quoting",TRUE,FALSE)</formula>
    </cfRule>
    <cfRule type="expression" dxfId="5533" priority="2807">
      <formula>IF($B37="Quoting",TRUE,FALSE)</formula>
    </cfRule>
    <cfRule type="expression" dxfId="5532" priority="2808">
      <formula>IF($B37="Quoting",TRUE,FALSE)</formula>
    </cfRule>
    <cfRule type="expression" dxfId="5531" priority="2809">
      <formula>IF($B37="Quoting",TRUE,FALSE)</formula>
    </cfRule>
    <cfRule type="expression" dxfId="5530" priority="2810">
      <formula>IF($B37="Quoting",TRUE,FALSE)</formula>
    </cfRule>
    <cfRule type="expression" dxfId="5529" priority="2811">
      <formula>IF($B37="Quoting",TRUE,FALSE)</formula>
    </cfRule>
    <cfRule type="expression" dxfId="5528" priority="2812">
      <formula>IF($B37="Quoting",TRUE,FALSE)</formula>
    </cfRule>
    <cfRule type="expression" dxfId="5527" priority="2813">
      <formula>IF($B37="Quoting",TRUE,FALSE)</formula>
    </cfRule>
    <cfRule type="expression" dxfId="5526" priority="2814">
      <formula>IF($B37="Quoting",TRUE,FALSE)</formula>
    </cfRule>
    <cfRule type="expression" dxfId="5525" priority="2815">
      <formula>IF($B37="Quoting",TRUE,FALSE)</formula>
    </cfRule>
    <cfRule type="expression" dxfId="5524" priority="2816">
      <formula>IF($B37="Quoting",TRUE,FALSE)</formula>
    </cfRule>
    <cfRule type="expression" dxfId="5523" priority="2817">
      <formula>IF($B37="Quoting",TRUE,FALSE)</formula>
    </cfRule>
    <cfRule type="expression" dxfId="5522" priority="2818">
      <formula>IF($B37="Quoting",TRUE,FALSE)</formula>
    </cfRule>
    <cfRule type="expression" dxfId="5521" priority="2819">
      <formula>IF($B37="Quoting",TRUE,FALSE)</formula>
    </cfRule>
    <cfRule type="expression" dxfId="5520" priority="2820">
      <formula>IF($B37="Quoting",TRUE,FALSE)</formula>
    </cfRule>
    <cfRule type="expression" dxfId="5519" priority="2821">
      <formula>IF($B37="Quoting",TRUE,FALSE)</formula>
    </cfRule>
    <cfRule type="expression" dxfId="5518" priority="2822">
      <formula>IF($B37="Quoting",TRUE,FALSE)</formula>
    </cfRule>
    <cfRule type="expression" dxfId="5517" priority="2823">
      <formula>IF($B37="Quoting",TRUE,FALSE)</formula>
    </cfRule>
    <cfRule type="expression" dxfId="5516" priority="2824">
      <formula>IF($B37="Quoting",TRUE,FALSE)</formula>
    </cfRule>
    <cfRule type="expression" dxfId="5515" priority="2825">
      <formula>IF($B37="Quoting",TRUE,FALSE)</formula>
    </cfRule>
    <cfRule type="expression" dxfId="5514" priority="2826">
      <formula>IF($B37="Quoting",TRUE,FALSE)</formula>
    </cfRule>
    <cfRule type="expression" dxfId="5513" priority="2827">
      <formula>IF($B37="Quoting",TRUE,FALSE)</formula>
    </cfRule>
    <cfRule type="expression" dxfId="5512" priority="2828">
      <formula>IF($B37="Quoting",TRUE,FALSE)</formula>
    </cfRule>
    <cfRule type="expression" dxfId="5511" priority="2829">
      <formula>IF($B37="Quoting",TRUE,FALSE)</formula>
    </cfRule>
    <cfRule type="expression" dxfId="5510" priority="2830">
      <formula>IF($B37="Quoting",TRUE,FALSE)</formula>
    </cfRule>
    <cfRule type="expression" dxfId="5509" priority="2831">
      <formula>IF($B37="Quoting",TRUE,FALSE)</formula>
    </cfRule>
    <cfRule type="expression" dxfId="5508" priority="2832">
      <formula>IF($B37="Quoting",TRUE,FALSE)</formula>
    </cfRule>
    <cfRule type="expression" dxfId="5507" priority="2833">
      <formula>IF($B37="Quoting",TRUE,FALSE)</formula>
    </cfRule>
    <cfRule type="expression" dxfId="5506" priority="2834">
      <formula>IF($B37="Quoting",TRUE,FALSE)</formula>
    </cfRule>
    <cfRule type="expression" dxfId="5505" priority="2835">
      <formula>IF($B37="Quoting",TRUE,FALSE)</formula>
    </cfRule>
    <cfRule type="expression" dxfId="5504" priority="2836">
      <formula>IF($B37="Quoting",TRUE,FALSE)</formula>
    </cfRule>
    <cfRule type="expression" dxfId="5503" priority="2837">
      <formula>IF($B37="Quoting",TRUE,FALSE)</formula>
    </cfRule>
    <cfRule type="expression" dxfId="5502" priority="2838">
      <formula>IF($B37="Quoting",TRUE,FALSE)</formula>
    </cfRule>
    <cfRule type="expression" dxfId="5501" priority="2839">
      <formula>IF($B37="Quoting",TRUE,FALSE)</formula>
    </cfRule>
    <cfRule type="expression" dxfId="5500" priority="2840">
      <formula>IF($B37="Quoting",TRUE,FALSE)</formula>
    </cfRule>
    <cfRule type="expression" dxfId="5499" priority="2841">
      <formula>IF($B37="Quoting",TRUE,FALSE)</formula>
    </cfRule>
    <cfRule type="expression" dxfId="5498" priority="2842">
      <formula>IF($B37="Quoting",TRUE,FALSE)</formula>
    </cfRule>
    <cfRule type="expression" dxfId="5497" priority="2843">
      <formula>IF($B37="Quoting",TRUE,FALSE)</formula>
    </cfRule>
    <cfRule type="expression" dxfId="5496" priority="2844">
      <formula>IF($B37="Quoting",TRUE,FALSE)</formula>
    </cfRule>
    <cfRule type="expression" dxfId="5495" priority="2845">
      <formula>IF($B37="Quoting",TRUE,FALSE)</formula>
    </cfRule>
    <cfRule type="expression" dxfId="5494" priority="2846">
      <formula>IF($B37="Quoting",TRUE,FALSE)</formula>
    </cfRule>
    <cfRule type="expression" dxfId="5493" priority="2847">
      <formula>IF($B37="Quoting",TRUE,FALSE)</formula>
    </cfRule>
    <cfRule type="expression" dxfId="5492" priority="2848">
      <formula>IF($B37="Quoting",TRUE,FALSE)</formula>
    </cfRule>
    <cfRule type="expression" dxfId="5491" priority="2849">
      <formula>IF($B37="Quoting",TRUE,FALSE)</formula>
    </cfRule>
    <cfRule type="expression" dxfId="5490" priority="2850">
      <formula>IF($B37="Quoting",TRUE,FALSE)</formula>
    </cfRule>
    <cfRule type="expression" dxfId="5489" priority="2851">
      <formula>IF($B37="Quoting",TRUE,FALSE)</formula>
    </cfRule>
    <cfRule type="expression" dxfId="5488" priority="2852">
      <formula>IF($B37="Quoting",TRUE,FALSE)</formula>
    </cfRule>
    <cfRule type="expression" dxfId="5487" priority="2853">
      <formula>IF($B37="Quoting",TRUE,FALSE)</formula>
    </cfRule>
    <cfRule type="expression" dxfId="5486" priority="2854">
      <formula>IF($B37="Quoting",TRUE,FALSE)</formula>
    </cfRule>
    <cfRule type="expression" dxfId="5485" priority="2855">
      <formula>IF($B37="Quoting",TRUE,FALSE)</formula>
    </cfRule>
    <cfRule type="expression" dxfId="5484" priority="2856">
      <formula>IF($B37="Quoting",TRUE,FALSE)</formula>
    </cfRule>
    <cfRule type="expression" dxfId="5483" priority="2857">
      <formula>IF($B37="Quoting",TRUE,FALSE)</formula>
    </cfRule>
    <cfRule type="expression" dxfId="5482" priority="2858">
      <formula>IF($B37="Quoting",TRUE,FALSE)</formula>
    </cfRule>
    <cfRule type="expression" dxfId="5481" priority="2859">
      <formula>IF($B37="Quoting",TRUE,FALSE)</formula>
    </cfRule>
    <cfRule type="expression" dxfId="5480" priority="2860">
      <formula>IF($B37="Quoting",TRUE,FALSE)</formula>
    </cfRule>
    <cfRule type="expression" dxfId="5479" priority="2861">
      <formula>IF($B37="Quoting",TRUE,FALSE)</formula>
    </cfRule>
    <cfRule type="expression" dxfId="5478" priority="2862">
      <formula>IF($B37="Quoting",TRUE,FALSE)</formula>
    </cfRule>
    <cfRule type="expression" dxfId="5477" priority="2863">
      <formula>IF($B37="Quoting",TRUE,FALSE)</formula>
    </cfRule>
    <cfRule type="expression" dxfId="5476" priority="2864">
      <formula>IF($B37="Quoting",TRUE,FALSE)</formula>
    </cfRule>
    <cfRule type="expression" dxfId="5475" priority="2865">
      <formula>IF($B37="Quoting",TRUE,FALSE)</formula>
    </cfRule>
    <cfRule type="expression" dxfId="5474" priority="2866">
      <formula>IF($B37="Quoting",TRUE,FALSE)</formula>
    </cfRule>
    <cfRule type="expression" dxfId="5473" priority="2867">
      <formula>IF($B37="Quoting",TRUE,FALSE)</formula>
    </cfRule>
    <cfRule type="expression" dxfId="5472" priority="2868">
      <formula>IF($B37="Quoting",TRUE,FALSE)</formula>
    </cfRule>
    <cfRule type="expression" dxfId="5471" priority="2869">
      <formula>IF($B37="Quoting",TRUE,FALSE)</formula>
    </cfRule>
    <cfRule type="expression" dxfId="5470" priority="2870">
      <formula>IF($B37="Quoting",TRUE,FALSE)</formula>
    </cfRule>
    <cfRule type="expression" dxfId="5469" priority="2871">
      <formula>IF($B37="Quoting",TRUE,FALSE)</formula>
    </cfRule>
    <cfRule type="expression" dxfId="5468" priority="2872">
      <formula>IF($B37="Quoting",TRUE,FALSE)</formula>
    </cfRule>
    <cfRule type="expression" dxfId="5467" priority="2873">
      <formula>IF($B37="Quoting",TRUE,FALSE)</formula>
    </cfRule>
    <cfRule type="expression" dxfId="5466" priority="2874">
      <formula>IF($B37="Quoting",TRUE,FALSE)</formula>
    </cfRule>
    <cfRule type="expression" dxfId="5465" priority="2875">
      <formula>IF($B37="Quoting",TRUE,FALSE)</formula>
    </cfRule>
    <cfRule type="expression" dxfId="5464" priority="2876">
      <formula>IF($B37="Quoting",TRUE,FALSE)</formula>
    </cfRule>
    <cfRule type="expression" dxfId="5463" priority="2877">
      <formula>IF($B37="Quoting",TRUE,FALSE)</formula>
    </cfRule>
    <cfRule type="expression" dxfId="5462" priority="2878">
      <formula>IF($B37="Quoting",TRUE,FALSE)</formula>
    </cfRule>
    <cfRule type="expression" dxfId="5461" priority="2879">
      <formula>IF($B37="Quoting",TRUE,FALSE)</formula>
    </cfRule>
    <cfRule type="expression" dxfId="5460" priority="2880">
      <formula>IF($B37="Quoting",TRUE,FALSE)</formula>
    </cfRule>
    <cfRule type="expression" dxfId="5459" priority="2881">
      <formula>IF($B37="Quoting",TRUE,FALSE)</formula>
    </cfRule>
    <cfRule type="expression" dxfId="5458" priority="2882">
      <formula>IF($B37="Quoting",TRUE,FALSE)</formula>
    </cfRule>
    <cfRule type="expression" dxfId="5457" priority="2883">
      <formula>IF($B37="Quoting",TRUE,FALSE)</formula>
    </cfRule>
    <cfRule type="expression" dxfId="5456" priority="2884">
      <formula>IF($B37="Quoting",TRUE,FALSE)</formula>
    </cfRule>
    <cfRule type="expression" dxfId="5455" priority="2885">
      <formula>IF($B37="Quoting",TRUE,FALSE)</formula>
    </cfRule>
    <cfRule type="expression" dxfId="5454" priority="2886">
      <formula>IF($B37="Quoting",TRUE,FALSE)</formula>
    </cfRule>
    <cfRule type="expression" dxfId="5453" priority="2887">
      <formula>IF($B37="Quoting",TRUE,FALSE)</formula>
    </cfRule>
    <cfRule type="expression" dxfId="5452" priority="2888">
      <formula>IF($B37="Quoting",TRUE,FALSE)</formula>
    </cfRule>
    <cfRule type="expression" dxfId="5451" priority="2889">
      <formula>IF($B37="Quoting",TRUE,FALSE)</formula>
    </cfRule>
    <cfRule type="expression" dxfId="5450" priority="2890">
      <formula>IF($B37="Quoting",TRUE,FALSE)</formula>
    </cfRule>
    <cfRule type="expression" dxfId="5449" priority="2891">
      <formula>IF($B37="Quoting",TRUE,FALSE)</formula>
    </cfRule>
    <cfRule type="expression" dxfId="5448" priority="2892">
      <formula>IF($B37="Quoting",TRUE,FALSE)</formula>
    </cfRule>
    <cfRule type="expression" dxfId="5447" priority="2893">
      <formula>IF($B37="Quoting",TRUE,FALSE)</formula>
    </cfRule>
    <cfRule type="expression" dxfId="5446" priority="2894">
      <formula>IF($B37="Quoting",TRUE,FALSE)</formula>
    </cfRule>
    <cfRule type="expression" dxfId="5445" priority="2895">
      <formula>IF($B37="Quoting",TRUE,FALSE)</formula>
    </cfRule>
    <cfRule type="expression" dxfId="5444" priority="2896">
      <formula>IF($B37="Quoting",TRUE,FALSE)</formula>
    </cfRule>
    <cfRule type="expression" dxfId="5443" priority="2897">
      <formula>IF($B37="Quoting",TRUE,FALSE)</formula>
    </cfRule>
    <cfRule type="expression" dxfId="5442" priority="2898">
      <formula>IF($B37="Quoting",TRUE,FALSE)</formula>
    </cfRule>
    <cfRule type="expression" dxfId="5441" priority="2899">
      <formula>IF($B37="Quoting",TRUE,FALSE)</formula>
    </cfRule>
    <cfRule type="expression" dxfId="5440" priority="2900">
      <formula>IF($B37="Quoting",TRUE,FALSE)</formula>
    </cfRule>
    <cfRule type="expression" dxfId="5439" priority="2901">
      <formula>IF($B37="Quoting",TRUE,FALSE)</formula>
    </cfRule>
    <cfRule type="expression" dxfId="5438" priority="2902">
      <formula>IF($B37="Quoting",TRUE,FALSE)</formula>
    </cfRule>
    <cfRule type="expression" dxfId="5437" priority="2903">
      <formula>IF($B37="Quoting",TRUE,FALSE)</formula>
    </cfRule>
    <cfRule type="expression" dxfId="5436" priority="2904">
      <formula>IF($B37="Quoting",TRUE,FALSE)</formula>
    </cfRule>
    <cfRule type="expression" dxfId="5435" priority="2905">
      <formula>IF($B37="Quoting",TRUE,FALSE)</formula>
    </cfRule>
    <cfRule type="expression" dxfId="5434" priority="2906">
      <formula>IF($B37="Quoting",TRUE,FALSE)</formula>
    </cfRule>
    <cfRule type="expression" dxfId="5433" priority="2907">
      <formula>IF($B37="Quoting",TRUE,FALSE)</formula>
    </cfRule>
    <cfRule type="expression" dxfId="5432" priority="2908">
      <formula>IF($B37="Quoting",TRUE,FALSE)</formula>
    </cfRule>
    <cfRule type="expression" dxfId="5431" priority="2909">
      <formula>IF($B37="Quoting",TRUE,FALSE)</formula>
    </cfRule>
    <cfRule type="expression" dxfId="5430" priority="2910">
      <formula>IF($B37="Quoting",TRUE,FALSE)</formula>
    </cfRule>
    <cfRule type="expression" dxfId="5429" priority="2911">
      <formula>IF($B37="Quoting",TRUE,FALSE)</formula>
    </cfRule>
    <cfRule type="expression" dxfId="5428" priority="2912">
      <formula>IF($B37="Quoting",TRUE,FALSE)</formula>
    </cfRule>
    <cfRule type="expression" dxfId="5427" priority="2913">
      <formula>IF($B37="Quoting",TRUE,FALSE)</formula>
    </cfRule>
    <cfRule type="expression" dxfId="5426" priority="2914">
      <formula>IF($B37="Quoting",TRUE,FALSE)</formula>
    </cfRule>
    <cfRule type="expression" dxfId="5425" priority="2915">
      <formula>IF($B37="Quoting",TRUE,FALSE)</formula>
    </cfRule>
    <cfRule type="expression" dxfId="5424" priority="2916">
      <formula>IF($B37="Quoting",TRUE,FALSE)</formula>
    </cfRule>
    <cfRule type="expression" dxfId="5423" priority="2917">
      <formula>IF($B37="Quoting",TRUE,FALSE)</formula>
    </cfRule>
    <cfRule type="expression" dxfId="5422" priority="2918">
      <formula>IF($B37="Quoting",TRUE,FALSE)</formula>
    </cfRule>
    <cfRule type="expression" dxfId="5421" priority="2919">
      <formula>IF($B37="Quoting",TRUE,FALSE)</formula>
    </cfRule>
    <cfRule type="expression" dxfId="5420" priority="2920">
      <formula>IF($B37="Quoting",TRUE,FALSE)</formula>
    </cfRule>
    <cfRule type="expression" dxfId="5419" priority="2921">
      <formula>IF($B37="Quoting",TRUE,FALSE)</formula>
    </cfRule>
    <cfRule type="expression" dxfId="5418" priority="2922">
      <formula>IF($B37="Quoting",TRUE,FALSE)</formula>
    </cfRule>
    <cfRule type="expression" dxfId="5417" priority="2923">
      <formula>IF($B37="Quoting",TRUE,FALSE)</formula>
    </cfRule>
    <cfRule type="expression" dxfId="5416" priority="2924">
      <formula>IF($B37="Quoting",TRUE,FALSE)</formula>
    </cfRule>
    <cfRule type="expression" dxfId="5415" priority="2925">
      <formula>IF($B37="Quoting",TRUE,FALSE)</formula>
    </cfRule>
    <cfRule type="expression" dxfId="5414" priority="2926">
      <formula>IF($B37="Quoting",TRUE,FALSE)</formula>
    </cfRule>
    <cfRule type="expression" dxfId="5413" priority="2927">
      <formula>IF($B37="Quoting",TRUE,FALSE)</formula>
    </cfRule>
    <cfRule type="expression" dxfId="5412" priority="2928">
      <formula>IF($B37="Quoting",TRUE,FALSE)</formula>
    </cfRule>
    <cfRule type="expression" dxfId="5411" priority="2929">
      <formula>IF($B37="Quoting",TRUE,FALSE)</formula>
    </cfRule>
    <cfRule type="expression" dxfId="5410" priority="2930">
      <formula>IF($B37="Quoting",TRUE,FALSE)</formula>
    </cfRule>
    <cfRule type="expression" dxfId="5409" priority="2931">
      <formula>IF($B37="Quoting",TRUE,FALSE)</formula>
    </cfRule>
    <cfRule type="expression" dxfId="5408" priority="2932">
      <formula>IF($B37="Quoting",TRUE,FALSE)</formula>
    </cfRule>
    <cfRule type="expression" dxfId="5407" priority="2933">
      <formula>IF($B37="Quoting",TRUE,FALSE)</formula>
    </cfRule>
    <cfRule type="expression" dxfId="5406" priority="2934">
      <formula>IF($B37="Quoting",TRUE,FALSE)</formula>
    </cfRule>
    <cfRule type="expression" dxfId="5405" priority="2935">
      <formula>IF($B37="Quoting",TRUE,FALSE)</formula>
    </cfRule>
    <cfRule type="expression" dxfId="5404" priority="2936">
      <formula>IF($B37="Quoting",TRUE,FALSE)</formula>
    </cfRule>
    <cfRule type="expression" dxfId="5403" priority="2937">
      <formula>IF($B37="Quoting",TRUE,FALSE)</formula>
    </cfRule>
    <cfRule type="expression" dxfId="5402" priority="2938">
      <formula>IF($B37="Quoting",TRUE,FALSE)</formula>
    </cfRule>
    <cfRule type="expression" dxfId="5401" priority="2939">
      <formula>IF($B37="Quoting",TRUE,FALSE)</formula>
    </cfRule>
    <cfRule type="expression" dxfId="5400" priority="2940">
      <formula>IF($B37="Quoting",TRUE,FALSE)</formula>
    </cfRule>
    <cfRule type="expression" dxfId="5399" priority="2941">
      <formula>IF($B37="Quoting",TRUE,FALSE)</formula>
    </cfRule>
    <cfRule type="expression" dxfId="5398" priority="2942">
      <formula>IF($B37="Quoting",TRUE,FALSE)</formula>
    </cfRule>
    <cfRule type="expression" dxfId="5397" priority="2943">
      <formula>IF($B37="Quoting",TRUE,FALSE)</formula>
    </cfRule>
    <cfRule type="expression" dxfId="5396" priority="2944">
      <formula>IF($B37="Quoting",TRUE,FALSE)</formula>
    </cfRule>
    <cfRule type="expression" dxfId="5395" priority="2945">
      <formula>IF($B37="Quoting",TRUE,FALSE)</formula>
    </cfRule>
    <cfRule type="expression" dxfId="5394" priority="2946">
      <formula>IF($B37="Quoting",TRUE,FALSE)</formula>
    </cfRule>
    <cfRule type="expression" dxfId="5393" priority="2947">
      <formula>IF($B37="Quoting",TRUE,FALSE)</formula>
    </cfRule>
    <cfRule type="expression" dxfId="5392" priority="2948">
      <formula>IF($B37="Quoting",TRUE,FALSE)</formula>
    </cfRule>
    <cfRule type="expression" dxfId="5391" priority="2949">
      <formula>IF($B37="Quoting",TRUE,FALSE)</formula>
    </cfRule>
    <cfRule type="expression" dxfId="5390" priority="2950">
      <formula>IF($B37="Quoting",TRUE,FALSE)</formula>
    </cfRule>
    <cfRule type="expression" dxfId="5389" priority="2951">
      <formula>IF($B37="Quoting",TRUE,FALSE)</formula>
    </cfRule>
    <cfRule type="expression" dxfId="5388" priority="2952">
      <formula>IF($B37="Quoting",TRUE,FALSE)</formula>
    </cfRule>
    <cfRule type="expression" dxfId="5387" priority="2953">
      <formula>IF($B37="Quoting",TRUE,FALSE)</formula>
    </cfRule>
    <cfRule type="expression" dxfId="5386" priority="2954">
      <formula>IF($B37="Quoting",TRUE,FALSE)</formula>
    </cfRule>
    <cfRule type="expression" dxfId="5385" priority="2955">
      <formula>IF($B37="Quoting",TRUE,FALSE)</formula>
    </cfRule>
    <cfRule type="expression" dxfId="5384" priority="2956">
      <formula>IF($B37="Quoting",TRUE,FALSE)</formula>
    </cfRule>
    <cfRule type="expression" dxfId="5383" priority="2957">
      <formula>IF($B37="Quoting",TRUE,FALSE)</formula>
    </cfRule>
    <cfRule type="expression" dxfId="5382" priority="2958">
      <formula>IF($B37="Quoting",TRUE,FALSE)</formula>
    </cfRule>
    <cfRule type="expression" dxfId="5381" priority="2959">
      <formula>IF($B37="Quoting",TRUE,FALSE)</formula>
    </cfRule>
    <cfRule type="expression" dxfId="5380" priority="2960">
      <formula>IF($B37="Quoting",TRUE,FALSE)</formula>
    </cfRule>
    <cfRule type="expression" dxfId="5379" priority="2961">
      <formula>IF($B37="Quoting",TRUE,FALSE)</formula>
    </cfRule>
    <cfRule type="expression" dxfId="5378" priority="2962">
      <formula>IF($B37="Quoting",TRUE,FALSE)</formula>
    </cfRule>
    <cfRule type="expression" dxfId="5377" priority="2963">
      <formula>IF($B37="Quoting",TRUE,FALSE)</formula>
    </cfRule>
    <cfRule type="expression" dxfId="5376" priority="2964">
      <formula>IF($B37="Quoting",TRUE,FALSE)</formula>
    </cfRule>
    <cfRule type="expression" dxfId="5375" priority="2965">
      <formula>IF($B37="Quoting",TRUE,FALSE)</formula>
    </cfRule>
    <cfRule type="expression" dxfId="5374" priority="2966">
      <formula>IF($B37="Quoting",TRUE,FALSE)</formula>
    </cfRule>
    <cfRule type="expression" dxfId="5373" priority="2967">
      <formula>IF($B37="Quoting",TRUE,FALSE)</formula>
    </cfRule>
    <cfRule type="expression" dxfId="5372" priority="2968">
      <formula>IF($B37="Quoting",TRUE,FALSE)</formula>
    </cfRule>
    <cfRule type="expression" dxfId="5371" priority="2969">
      <formula>IF($B37="Quoting",TRUE,FALSE)</formula>
    </cfRule>
    <cfRule type="expression" dxfId="5370" priority="2970">
      <formula>IF($B37="Quoting",TRUE,FALSE)</formula>
    </cfRule>
    <cfRule type="expression" dxfId="5369" priority="2971">
      <formula>IF($B37="Quoting",TRUE,FALSE)</formula>
    </cfRule>
    <cfRule type="expression" dxfId="5368" priority="2972">
      <formula>IF($B37="Quoting",TRUE,FALSE)</formula>
    </cfRule>
    <cfRule type="expression" dxfId="5367" priority="2973">
      <formula>IF($B37="Quoting",TRUE,FALSE)</formula>
    </cfRule>
    <cfRule type="expression" dxfId="5366" priority="2974">
      <formula>IF($B37="Quoting",TRUE,FALSE)</formula>
    </cfRule>
    <cfRule type="expression" dxfId="5365" priority="2975">
      <formula>IF($B37="Quoting",TRUE,FALSE)</formula>
    </cfRule>
    <cfRule type="expression" dxfId="5364" priority="2976">
      <formula>IF($B37="Quoting",TRUE,FALSE)</formula>
    </cfRule>
    <cfRule type="expression" dxfId="5363" priority="2977">
      <formula>IF($B37="Quoting",TRUE,FALSE)</formula>
    </cfRule>
    <cfRule type="expression" dxfId="5362" priority="2978">
      <formula>IF($B37="Quoting",TRUE,FALSE)</formula>
    </cfRule>
    <cfRule type="expression" dxfId="5361" priority="2979">
      <formula>IF($B37="Quoting",TRUE,FALSE)</formula>
    </cfRule>
    <cfRule type="expression" dxfId="5360" priority="2980">
      <formula>IF($B37="Quoting",TRUE,FALSE)</formula>
    </cfRule>
    <cfRule type="expression" dxfId="5359" priority="2981">
      <formula>IF($B37="Quoting",TRUE,FALSE)</formula>
    </cfRule>
    <cfRule type="expression" dxfId="5358" priority="2982">
      <formula>IF($B37="Quoting",TRUE,FALSE)</formula>
    </cfRule>
    <cfRule type="expression" dxfId="5357" priority="2983">
      <formula>IF($B37="Quoting",TRUE,FALSE)</formula>
    </cfRule>
    <cfRule type="expression" dxfId="5356" priority="2984">
      <formula>IF($B37="Quoting",TRUE,FALSE)</formula>
    </cfRule>
    <cfRule type="expression" dxfId="5355" priority="2985">
      <formula>IF($B37="Quoting",TRUE,FALSE)</formula>
    </cfRule>
    <cfRule type="expression" dxfId="5354" priority="2986">
      <formula>IF($B37="Quoting",TRUE,FALSE)</formula>
    </cfRule>
    <cfRule type="expression" dxfId="5353" priority="2987">
      <formula>IF($B37="Quoting",TRUE,FALSE)</formula>
    </cfRule>
    <cfRule type="expression" dxfId="5352" priority="2988">
      <formula>IF($B37="Quoting",TRUE,FALSE)</formula>
    </cfRule>
    <cfRule type="expression" dxfId="5351" priority="2989">
      <formula>IF($B37="Quoting",TRUE,FALSE)</formula>
    </cfRule>
    <cfRule type="expression" dxfId="5350" priority="2990">
      <formula>IF($B37="Quoting",TRUE,FALSE)</formula>
    </cfRule>
    <cfRule type="expression" dxfId="5349" priority="2991">
      <formula>IF($B37="Quoting",TRUE,FALSE)</formula>
    </cfRule>
    <cfRule type="expression" dxfId="5348" priority="2992">
      <formula>IF($B37="Quoting",TRUE,FALSE)</formula>
    </cfRule>
    <cfRule type="expression" dxfId="5347" priority="2993">
      <formula>IF($B37="Quoting",TRUE,FALSE)</formula>
    </cfRule>
    <cfRule type="expression" dxfId="5346" priority="2994">
      <formula>IF($B37="Quoting",TRUE,FALSE)</formula>
    </cfRule>
    <cfRule type="expression" dxfId="5345" priority="2995">
      <formula>IF($B37="Quoting",TRUE,FALSE)</formula>
    </cfRule>
    <cfRule type="expression" dxfId="5344" priority="2996">
      <formula>IF($B37="Quoting",TRUE,FALSE)</formula>
    </cfRule>
    <cfRule type="expression" dxfId="5343" priority="2997">
      <formula>IF($B37="Quoting",TRUE,FALSE)</formula>
    </cfRule>
    <cfRule type="expression" dxfId="5342" priority="2998">
      <formula>IF($B37="Quoting",TRUE,FALSE)</formula>
    </cfRule>
    <cfRule type="expression" dxfId="5341" priority="2999">
      <formula>IF($B37="Quoting",TRUE,FALSE)</formula>
    </cfRule>
    <cfRule type="expression" dxfId="5340" priority="3000">
      <formula>IF($B37="Quoting",TRUE,FALSE)</formula>
    </cfRule>
    <cfRule type="expression" dxfId="5339" priority="3001">
      <formula>IF($B37="Quoting",TRUE,FALSE)</formula>
    </cfRule>
    <cfRule type="expression" dxfId="5338" priority="3002">
      <formula>IF($B37="Quoting",TRUE,FALSE)</formula>
    </cfRule>
    <cfRule type="expression" dxfId="5337" priority="3003">
      <formula>IF($B37="Quoting",TRUE,FALSE)</formula>
    </cfRule>
    <cfRule type="expression" dxfId="5336" priority="3004">
      <formula>IF($B37="Quoting",TRUE,FALSE)</formula>
    </cfRule>
    <cfRule type="expression" dxfId="5335" priority="3005">
      <formula>IF($B37="Quoting",TRUE,FALSE)</formula>
    </cfRule>
    <cfRule type="expression" dxfId="5334" priority="3006">
      <formula>IF($B37="Quoting",TRUE,FALSE)</formula>
    </cfRule>
    <cfRule type="expression" dxfId="5333" priority="3007">
      <formula>IF($B37="Quoting",TRUE,FALSE)</formula>
    </cfRule>
    <cfRule type="expression" dxfId="5332" priority="3008">
      <formula>IF($B37="Quoting",TRUE,FALSE)</formula>
    </cfRule>
    <cfRule type="expression" dxfId="5331" priority="3009">
      <formula>IF($B37="Quoting",TRUE,FALSE)</formula>
    </cfRule>
    <cfRule type="expression" dxfId="5330" priority="3010">
      <formula>IF($B37="Quoting",TRUE,FALSE)</formula>
    </cfRule>
    <cfRule type="expression" dxfId="5329" priority="3011">
      <formula>IF($B37="Quoting",TRUE,FALSE)</formula>
    </cfRule>
    <cfRule type="expression" dxfId="5328" priority="3012">
      <formula>IF($B37="Quoting",TRUE,FALSE)</formula>
    </cfRule>
    <cfRule type="expression" dxfId="5327" priority="3013">
      <formula>IF($B37="Quoting",TRUE,FALSE)</formula>
    </cfRule>
    <cfRule type="expression" dxfId="5326" priority="3014">
      <formula>IF($B37="Quoting",TRUE,FALSE)</formula>
    </cfRule>
    <cfRule type="expression" dxfId="5325" priority="3015">
      <formula>IF($B37="Quoting",TRUE,FALSE)</formula>
    </cfRule>
    <cfRule type="expression" dxfId="5324" priority="3016">
      <formula>IF($B37="Quoting",TRUE,FALSE)</formula>
    </cfRule>
    <cfRule type="expression" dxfId="5323" priority="3017">
      <formula>IF($B37="Quoting",TRUE,FALSE)</formula>
    </cfRule>
    <cfRule type="expression" dxfId="5322" priority="3018">
      <formula>IF($B37="Quoting",TRUE,FALSE)</formula>
    </cfRule>
    <cfRule type="expression" dxfId="5321" priority="3019">
      <formula>IF($B37="Quoting",TRUE,FALSE)</formula>
    </cfRule>
    <cfRule type="expression" dxfId="5320" priority="3020">
      <formula>IF($B37="Quoting",TRUE,FALSE)</formula>
    </cfRule>
    <cfRule type="expression" dxfId="5319" priority="3021">
      <formula>IF($B37="Quoting",TRUE,FALSE)</formula>
    </cfRule>
    <cfRule type="expression" dxfId="5318" priority="3022">
      <formula>IF($B37="Quoting",TRUE,FALSE)</formula>
    </cfRule>
    <cfRule type="expression" dxfId="5317" priority="3023">
      <formula>IF($B37="Quoting",TRUE,FALSE)</formula>
    </cfRule>
    <cfRule type="expression" dxfId="5316" priority="3024">
      <formula>IF($B37="Quoting",TRUE,FALSE)</formula>
    </cfRule>
    <cfRule type="expression" dxfId="5315" priority="3025">
      <formula>IF($B37="Quoting",TRUE,FALSE)</formula>
    </cfRule>
    <cfRule type="expression" dxfId="5314" priority="3026">
      <formula>IF($B37="Quoting",TRUE,FALSE)</formula>
    </cfRule>
    <cfRule type="expression" dxfId="5313" priority="3027">
      <formula>IF($B37="Quoting",TRUE,FALSE)</formula>
    </cfRule>
    <cfRule type="expression" dxfId="5312" priority="3028">
      <formula>IF($B37="Quoting",TRUE,FALSE)</formula>
    </cfRule>
    <cfRule type="expression" dxfId="5311" priority="3029">
      <formula>IF($B37="Quoting",TRUE,FALSE)</formula>
    </cfRule>
    <cfRule type="expression" dxfId="5310" priority="3030">
      <formula>IF($B37="Quoting",TRUE,FALSE)</formula>
    </cfRule>
    <cfRule type="expression" dxfId="5309" priority="3031">
      <formula>IF($B37="Quoting",TRUE,FALSE)</formula>
    </cfRule>
    <cfRule type="expression" dxfId="5308" priority="3032">
      <formula>IF($B37="Quoting",TRUE,FALSE)</formula>
    </cfRule>
    <cfRule type="expression" dxfId="5307" priority="3033">
      <formula>IF($B37="Quoting",TRUE,FALSE)</formula>
    </cfRule>
    <cfRule type="expression" dxfId="5306" priority="3034">
      <formula>IF($B37="Quoting",TRUE,FALSE)</formula>
    </cfRule>
    <cfRule type="expression" dxfId="5305" priority="3035">
      <formula>IF($B37="Quoting",TRUE,FALSE)</formula>
    </cfRule>
    <cfRule type="expression" dxfId="5304" priority="3036">
      <formula>IF($B37="Quoting",TRUE,FALSE)</formula>
    </cfRule>
    <cfRule type="expression" dxfId="5303" priority="3037">
      <formula>IF($B37="Quoting",TRUE,FALSE)</formula>
    </cfRule>
    <cfRule type="expression" dxfId="5302" priority="3038">
      <formula>IF($B37="Quoting",TRUE,FALSE)</formula>
    </cfRule>
    <cfRule type="expression" dxfId="5301" priority="3039">
      <formula>IF($B37="Quoting",TRUE,FALSE)</formula>
    </cfRule>
    <cfRule type="expression" dxfId="5300" priority="3040">
      <formula>IF($B37="Quoting",TRUE,FALSE)</formula>
    </cfRule>
    <cfRule type="expression" dxfId="5299" priority="3041">
      <formula>IF($B37="Quoting",TRUE,FALSE)</formula>
    </cfRule>
    <cfRule type="expression" dxfId="5298" priority="3042">
      <formula>IF($B37="Quoting",TRUE,FALSE)</formula>
    </cfRule>
    <cfRule type="expression" dxfId="5297" priority="3043">
      <formula>IF($B37="Quoting",TRUE,FALSE)</formula>
    </cfRule>
    <cfRule type="expression" dxfId="5296" priority="3044">
      <formula>IF($B37="Quoting",TRUE,FALSE)</formula>
    </cfRule>
    <cfRule type="expression" dxfId="5295" priority="3045">
      <formula>IF($B37="Quoting",TRUE,FALSE)</formula>
    </cfRule>
    <cfRule type="expression" dxfId="5294" priority="3046">
      <formula>IF($B37="Quoting",TRUE,FALSE)</formula>
    </cfRule>
    <cfRule type="expression" dxfId="5293" priority="3047">
      <formula>IF($B37="Quoting",TRUE,FALSE)</formula>
    </cfRule>
    <cfRule type="expression" dxfId="5292" priority="3048">
      <formula>IF($B37="Quoting",TRUE,FALSE)</formula>
    </cfRule>
    <cfRule type="expression" dxfId="5291" priority="3049">
      <formula>IF($B37="Quoting",TRUE,FALSE)</formula>
    </cfRule>
    <cfRule type="expression" dxfId="5290" priority="3050">
      <formula>IF($B37="Quoting",TRUE,FALSE)</formula>
    </cfRule>
    <cfRule type="expression" dxfId="5289" priority="3051">
      <formula>IF($B37="Quoting",TRUE,FALSE)</formula>
    </cfRule>
    <cfRule type="expression" dxfId="5288" priority="3052">
      <formula>IF($B37="Quoting",TRUE,FALSE)</formula>
    </cfRule>
    <cfRule type="expression" dxfId="5287" priority="3053">
      <formula>IF($B37="Quoting",TRUE,FALSE)</formula>
    </cfRule>
    <cfRule type="expression" dxfId="5286" priority="3054">
      <formula>IF($B37="Quoting",TRUE,FALSE)</formula>
    </cfRule>
    <cfRule type="expression" dxfId="5285" priority="3055">
      <formula>IF($B37="Quoting",TRUE,FALSE)</formula>
    </cfRule>
    <cfRule type="expression" dxfId="5284" priority="3056">
      <formula>IF($B37="Quoting",TRUE,FALSE)</formula>
    </cfRule>
    <cfRule type="expression" dxfId="5283" priority="3057">
      <formula>IF($B37="Quoting",TRUE,FALSE)</formula>
    </cfRule>
    <cfRule type="expression" dxfId="5282" priority="3058">
      <formula>IF($B37="Quoting",TRUE,FALSE)</formula>
    </cfRule>
    <cfRule type="expression" dxfId="5281" priority="3059">
      <formula>IF($B37="Quoting",TRUE,FALSE)</formula>
    </cfRule>
    <cfRule type="expression" dxfId="5280" priority="3060">
      <formula>IF($B37="Quoting",TRUE,FALSE)</formula>
    </cfRule>
    <cfRule type="expression" dxfId="5279" priority="3061">
      <formula>IF($B37="Quoting",TRUE,FALSE)</formula>
    </cfRule>
    <cfRule type="expression" dxfId="5278" priority="3062">
      <formula>IF($B37="Quoting",TRUE,FALSE)</formula>
    </cfRule>
    <cfRule type="expression" dxfId="5277" priority="3063">
      <formula>IF($B37="Quoting",TRUE,FALSE)</formula>
    </cfRule>
    <cfRule type="expression" dxfId="5276" priority="3064">
      <formula>IF($B37="Quoting",TRUE,FALSE)</formula>
    </cfRule>
    <cfRule type="expression" dxfId="5275" priority="3065">
      <formula>IF($B37="Quoting",TRUE,FALSE)</formula>
    </cfRule>
    <cfRule type="expression" dxfId="5274" priority="3066">
      <formula>IF($B37="Quoting",TRUE,FALSE)</formula>
    </cfRule>
    <cfRule type="expression" dxfId="5273" priority="3067">
      <formula>IF($B37="Quoting",TRUE,FALSE)</formula>
    </cfRule>
    <cfRule type="expression" dxfId="5272" priority="3068">
      <formula>IF($B37="Quoting",TRUE,FALSE)</formula>
    </cfRule>
    <cfRule type="expression" dxfId="5271" priority="3069">
      <formula>IF($B37="Quoting",TRUE,FALSE)</formula>
    </cfRule>
    <cfRule type="expression" dxfId="5270" priority="3070">
      <formula>IF($B37="Quoting",TRUE,FALSE)</formula>
    </cfRule>
    <cfRule type="expression" dxfId="5269" priority="3071">
      <formula>IF($B37="Quoting",TRUE,FALSE)</formula>
    </cfRule>
    <cfRule type="expression" dxfId="5268" priority="3072">
      <formula>IF($B37="Quoting",TRUE,FALSE)</formula>
    </cfRule>
    <cfRule type="expression" dxfId="5267" priority="3073">
      <formula>IF($B37="Quoting",TRUE,FALSE)</formula>
    </cfRule>
    <cfRule type="expression" dxfId="5266" priority="3074">
      <formula>IF($B37="Quoting",TRUE,FALSE)</formula>
    </cfRule>
    <cfRule type="expression" dxfId="5265" priority="3075">
      <formula>IF($B37="Quoting",TRUE,FALSE)</formula>
    </cfRule>
    <cfRule type="expression" dxfId="5264" priority="3076">
      <formula>IF($B37="Quoting",TRUE,FALSE)</formula>
    </cfRule>
    <cfRule type="expression" dxfId="5263" priority="3077">
      <formula>IF($B37="Quoting",TRUE,FALSE)</formula>
    </cfRule>
    <cfRule type="expression" dxfId="5262" priority="3078">
      <formula>IF($B37="Quoting",TRUE,FALSE)</formula>
    </cfRule>
    <cfRule type="expression" dxfId="5261" priority="3079">
      <formula>IF($B37="Quoting",TRUE,FALSE)</formula>
    </cfRule>
    <cfRule type="expression" dxfId="5260" priority="3080">
      <formula>IF($B37="Quoting",TRUE,FALSE)</formula>
    </cfRule>
    <cfRule type="expression" dxfId="5259" priority="3081">
      <formula>IF($B37="Quoting",TRUE,FALSE)</formula>
    </cfRule>
    <cfRule type="expression" dxfId="5258" priority="3082">
      <formula>IF($B37="Quoting",TRUE,FALSE)</formula>
    </cfRule>
    <cfRule type="expression" dxfId="5257" priority="3083">
      <formula>IF($B37="Quoting",TRUE,FALSE)</formula>
    </cfRule>
    <cfRule type="expression" dxfId="5256" priority="3084">
      <formula>IF($B37="Quoting",TRUE,FALSE)</formula>
    </cfRule>
    <cfRule type="expression" dxfId="5255" priority="3085">
      <formula>IF($B37="Quoting",TRUE,FALSE)</formula>
    </cfRule>
    <cfRule type="expression" dxfId="5254" priority="3086">
      <formula>IF($B37="Quoting",TRUE,FALSE)</formula>
    </cfRule>
    <cfRule type="expression" dxfId="5253" priority="3087">
      <formula>IF($B37="Quoting",TRUE,FALSE)</formula>
    </cfRule>
    <cfRule type="expression" dxfId="5252" priority="3088">
      <formula>IF($B37="Quoting",TRUE,FALSE)</formula>
    </cfRule>
    <cfRule type="expression" dxfId="5251" priority="3089">
      <formula>IF($B37="Quoting",TRUE,FALSE)</formula>
    </cfRule>
    <cfRule type="expression" dxfId="5250" priority="3090">
      <formula>IF($B37="Quoting",TRUE,FALSE)</formula>
    </cfRule>
    <cfRule type="expression" dxfId="5249" priority="3091">
      <formula>IF($B37="Quoting",TRUE,FALSE)</formula>
    </cfRule>
    <cfRule type="expression" dxfId="5248" priority="3092">
      <formula>IF($B37="Quoting",TRUE,FALSE)</formula>
    </cfRule>
    <cfRule type="expression" dxfId="5247" priority="3093">
      <formula>IF($B37="Quoting",TRUE,FALSE)</formula>
    </cfRule>
    <cfRule type="expression" dxfId="5246" priority="3094">
      <formula>IF($B37="Quoting",TRUE,FALSE)</formula>
    </cfRule>
    <cfRule type="expression" dxfId="5245" priority="3095">
      <formula>IF($B37="Quoting",TRUE,FALSE)</formula>
    </cfRule>
    <cfRule type="expression" dxfId="5244" priority="3096">
      <formula>IF($B37="Quoting",TRUE,FALSE)</formula>
    </cfRule>
    <cfRule type="expression" dxfId="5243" priority="3097">
      <formula>IF($B37="Quoting",TRUE,FALSE)</formula>
    </cfRule>
    <cfRule type="expression" dxfId="5242" priority="3098">
      <formula>IF($B37="Quoting",TRUE,FALSE)</formula>
    </cfRule>
    <cfRule type="expression" dxfId="5241" priority="3099">
      <formula>IF($B37="Quoting",TRUE,FALSE)</formula>
    </cfRule>
    <cfRule type="expression" dxfId="5240" priority="3100">
      <formula>IF($B37="Quoting",TRUE,FALSE)</formula>
    </cfRule>
    <cfRule type="expression" dxfId="5239" priority="3101">
      <formula>IF($B37="Quoting",TRUE,FALSE)</formula>
    </cfRule>
    <cfRule type="expression" dxfId="5238" priority="3102">
      <formula>IF($B37="Quoting",TRUE,FALSE)</formula>
    </cfRule>
    <cfRule type="expression" dxfId="5237" priority="3103">
      <formula>IF($B37="Quoting",TRUE,FALSE)</formula>
    </cfRule>
    <cfRule type="expression" dxfId="5236" priority="3104">
      <formula>IF($B37="Quoting",TRUE,FALSE)</formula>
    </cfRule>
    <cfRule type="expression" dxfId="5235" priority="3105">
      <formula>IF($B37="Quoting",TRUE,FALSE)</formula>
    </cfRule>
    <cfRule type="expression" dxfId="5234" priority="3106">
      <formula>IF($B37="Quoting",TRUE,FALSE)</formula>
    </cfRule>
    <cfRule type="expression" dxfId="5233" priority="3107">
      <formula>IF($B37="Quoting",TRUE,FALSE)</formula>
    </cfRule>
    <cfRule type="expression" dxfId="5232" priority="3108">
      <formula>IF($B37="Quoting",TRUE,FALSE)</formula>
    </cfRule>
    <cfRule type="expression" dxfId="5231" priority="3109">
      <formula>IF($B37="Quoting",TRUE,FALSE)</formula>
    </cfRule>
    <cfRule type="expression" dxfId="5230" priority="3110">
      <formula>IF($B37="Quoting",TRUE,FALSE)</formula>
    </cfRule>
    <cfRule type="expression" dxfId="5229" priority="3111">
      <formula>IF($B37="Quoting",TRUE,FALSE)</formula>
    </cfRule>
    <cfRule type="expression" dxfId="5228" priority="3112">
      <formula>IF($B37="Quoting",TRUE,FALSE)</formula>
    </cfRule>
    <cfRule type="expression" dxfId="5227" priority="3113">
      <formula>IF($B37="Quoting",TRUE,FALSE)</formula>
    </cfRule>
    <cfRule type="expression" dxfId="5226" priority="3114">
      <formula>IF($B37="Quoting",TRUE,FALSE)</formula>
    </cfRule>
    <cfRule type="expression" dxfId="5225" priority="3115">
      <formula>IF($B37="Quoting",TRUE,FALSE)</formula>
    </cfRule>
    <cfRule type="expression" dxfId="5224" priority="3116">
      <formula>IF($B37="Quoting",TRUE,FALSE)</formula>
    </cfRule>
    <cfRule type="expression" dxfId="5223" priority="3117">
      <formula>IF($B37="Quoting",TRUE,FALSE)</formula>
    </cfRule>
    <cfRule type="expression" dxfId="5222" priority="3118">
      <formula>IF($B37="Quoting",TRUE,FALSE)</formula>
    </cfRule>
    <cfRule type="expression" dxfId="5221" priority="3119">
      <formula>IF($B37="Quoting",TRUE,FALSE)</formula>
    </cfRule>
    <cfRule type="expression" dxfId="5220" priority="3120">
      <formula>IF($B37="Quoting",TRUE,FALSE)</formula>
    </cfRule>
    <cfRule type="expression" dxfId="5219" priority="3121">
      <formula>IF($B37="Quoting",TRUE,FALSE)</formula>
    </cfRule>
    <cfRule type="expression" dxfId="5218" priority="3122">
      <formula>IF($B37="Quoting",TRUE,FALSE)</formula>
    </cfRule>
    <cfRule type="expression" dxfId="5217" priority="3123">
      <formula>IF($B37="Quoting",TRUE,FALSE)</formula>
    </cfRule>
    <cfRule type="expression" dxfId="5216" priority="3124">
      <formula>IF($B37="Quoting",TRUE,FALSE)</formula>
    </cfRule>
    <cfRule type="expression" dxfId="5215" priority="3125">
      <formula>IF($B37="Quoting",TRUE,FALSE)</formula>
    </cfRule>
    <cfRule type="expression" dxfId="5214" priority="3126">
      <formula>IF($B37="Quoting",TRUE,FALSE)</formula>
    </cfRule>
    <cfRule type="expression" dxfId="5213" priority="3127">
      <formula>IF($B37="Quoting",TRUE,FALSE)</formula>
    </cfRule>
    <cfRule type="expression" dxfId="5212" priority="3128">
      <formula>IF($B37="Quoting",TRUE,FALSE)</formula>
    </cfRule>
    <cfRule type="expression" dxfId="5211" priority="3129">
      <formula>IF($B37="Quoting",TRUE,FALSE)</formula>
    </cfRule>
    <cfRule type="expression" dxfId="5210" priority="3130">
      <formula>IF($B37="Quoting",TRUE,FALSE)</formula>
    </cfRule>
    <cfRule type="expression" dxfId="5209" priority="3131">
      <formula>IF($B37="Quoting",TRUE,FALSE)</formula>
    </cfRule>
    <cfRule type="expression" dxfId="5208" priority="3132">
      <formula>IF($B37="Quoting",TRUE,FALSE)</formula>
    </cfRule>
    <cfRule type="expression" dxfId="5207" priority="3133">
      <formula>IF($B37="Quoting",TRUE,FALSE)</formula>
    </cfRule>
    <cfRule type="expression" dxfId="5206" priority="3134">
      <formula>IF($B37="Quoting",TRUE,FALSE)</formula>
    </cfRule>
    <cfRule type="expression" dxfId="5205" priority="3135">
      <formula>IF($B37="Quoting",TRUE,FALSE)</formula>
    </cfRule>
    <cfRule type="expression" dxfId="5204" priority="3136">
      <formula>IF($B37="Quoting",TRUE,FALSE)</formula>
    </cfRule>
    <cfRule type="expression" dxfId="5203" priority="3137">
      <formula>IF($B37="Quoting",TRUE,FALSE)</formula>
    </cfRule>
    <cfRule type="expression" dxfId="5202" priority="3138">
      <formula>IF($B37="Quoting",TRUE,FALSE)</formula>
    </cfRule>
    <cfRule type="expression" dxfId="5201" priority="3139">
      <formula>IF($B37="Quoting",TRUE,FALSE)</formula>
    </cfRule>
    <cfRule type="expression" dxfId="5200" priority="3140">
      <formula>IF($B37="Quoting",TRUE,FALSE)</formula>
    </cfRule>
    <cfRule type="expression" dxfId="5199" priority="3141">
      <formula>IF($B37="Quoting",TRUE,FALSE)</formula>
    </cfRule>
    <cfRule type="expression" dxfId="5198" priority="3142">
      <formula>IF($B37="Quoting",TRUE,FALSE)</formula>
    </cfRule>
    <cfRule type="expression" dxfId="5197" priority="3143">
      <formula>IF($B37="Quoting",TRUE,FALSE)</formula>
    </cfRule>
    <cfRule type="expression" dxfId="5196" priority="3144">
      <formula>IF($B37="Quoting",TRUE,FALSE)</formula>
    </cfRule>
    <cfRule type="expression" dxfId="5195" priority="3145">
      <formula>IF($B37="Quoting",TRUE,FALSE)</formula>
    </cfRule>
    <cfRule type="expression" dxfId="5194" priority="3146">
      <formula>IF($B37="Quoting",TRUE,FALSE)</formula>
    </cfRule>
    <cfRule type="expression" dxfId="5193" priority="3147">
      <formula>IF($B37="Quoting",TRUE,FALSE)</formula>
    </cfRule>
    <cfRule type="expression" dxfId="5192" priority="3148">
      <formula>IF($B37="Quoting",TRUE,FALSE)</formula>
    </cfRule>
    <cfRule type="expression" dxfId="5191" priority="3149">
      <formula>IF($B37="Quoting",TRUE,FALSE)</formula>
    </cfRule>
    <cfRule type="expression" dxfId="5190" priority="3150">
      <formula>IF($B37="Quoting",TRUE,FALSE)</formula>
    </cfRule>
    <cfRule type="expression" dxfId="5189" priority="3151">
      <formula>IF($B37="Quoting",TRUE,FALSE)</formula>
    </cfRule>
    <cfRule type="expression" dxfId="5188" priority="3152">
      <formula>IF($B37="Quoting",TRUE,FALSE)</formula>
    </cfRule>
    <cfRule type="expression" dxfId="5187" priority="3153">
      <formula>IF($B37="Quoting",TRUE,FALSE)</formula>
    </cfRule>
    <cfRule type="expression" dxfId="5186" priority="3154">
      <formula>IF($B37="Quoting",TRUE,FALSE)</formula>
    </cfRule>
    <cfRule type="expression" dxfId="5185" priority="3155">
      <formula>IF($B37="Quoting",TRUE,FALSE)</formula>
    </cfRule>
    <cfRule type="expression" dxfId="5184" priority="3156">
      <formula>IF($B37="Quoting",TRUE,FALSE)</formula>
    </cfRule>
    <cfRule type="expression" dxfId="5183" priority="3157">
      <formula>IF($B37="Quoting",TRUE,FALSE)</formula>
    </cfRule>
    <cfRule type="expression" dxfId="5182" priority="3158">
      <formula>IF($B37="Quoting",TRUE,FALSE)</formula>
    </cfRule>
    <cfRule type="expression" dxfId="5181" priority="3159">
      <formula>IF($B37="Quoting",TRUE,FALSE)</formula>
    </cfRule>
    <cfRule type="expression" dxfId="5180" priority="3160">
      <formula>IF($B37="Quoting",TRUE,FALSE)</formula>
    </cfRule>
    <cfRule type="expression" dxfId="5179" priority="3161">
      <formula>IF($B37="Quoting",TRUE,FALSE)</formula>
    </cfRule>
    <cfRule type="expression" dxfId="5178" priority="3162">
      <formula>IF($B37="Quoting",TRUE,FALSE)</formula>
    </cfRule>
    <cfRule type="expression" dxfId="5177" priority="3163">
      <formula>IF($B37="Quoting",TRUE,FALSE)</formula>
    </cfRule>
    <cfRule type="expression" dxfId="5176" priority="3164">
      <formula>IF($B37="Quoting",TRUE,FALSE)</formula>
    </cfRule>
    <cfRule type="expression" dxfId="5175" priority="3165">
      <formula>IF($B37="Quoting",TRUE,FALSE)</formula>
    </cfRule>
    <cfRule type="expression" dxfId="5174" priority="3166">
      <formula>IF($B37="Quoting",TRUE,FALSE)</formula>
    </cfRule>
    <cfRule type="expression" dxfId="5173" priority="3167">
      <formula>IF($B37="Quoting",TRUE,FALSE)</formula>
    </cfRule>
    <cfRule type="expression" dxfId="5172" priority="3168">
      <formula>IF($B37="Quoting",TRUE,FALSE)</formula>
    </cfRule>
    <cfRule type="expression" dxfId="5171" priority="3169">
      <formula>IF($B37="Quoting",TRUE,FALSE)</formula>
    </cfRule>
    <cfRule type="expression" dxfId="5170" priority="3170">
      <formula>IF($B37="Quoting",TRUE,FALSE)</formula>
    </cfRule>
    <cfRule type="expression" dxfId="5169" priority="3171">
      <formula>IF($B37="Quoting",TRUE,FALSE)</formula>
    </cfRule>
    <cfRule type="expression" dxfId="5168" priority="3172">
      <formula>IF($B37="Quoting",TRUE,FALSE)</formula>
    </cfRule>
    <cfRule type="expression" dxfId="5167" priority="3173">
      <formula>IF($B37="Quoting",TRUE,FALSE)</formula>
    </cfRule>
    <cfRule type="expression" dxfId="5166" priority="3174">
      <formula>IF($B37="Quoting",TRUE,FALSE)</formula>
    </cfRule>
    <cfRule type="expression" dxfId="5165" priority="3175">
      <formula>IF($B37="Quoting",TRUE,FALSE)</formula>
    </cfRule>
    <cfRule type="expression" dxfId="5164" priority="3176">
      <formula>IF($B37="Quoting",TRUE,FALSE)</formula>
    </cfRule>
    <cfRule type="expression" dxfId="5163" priority="3177">
      <formula>IF($B37="Quoting",TRUE,FALSE)</formula>
    </cfRule>
    <cfRule type="expression" dxfId="5162" priority="3178">
      <formula>IF($B37="Quoting",TRUE,FALSE)</formula>
    </cfRule>
    <cfRule type="expression" dxfId="5161" priority="3179">
      <formula>IF($B37="Quoting",TRUE,FALSE)</formula>
    </cfRule>
    <cfRule type="expression" dxfId="5160" priority="3180">
      <formula>IF($B37="Quoting",TRUE,FALSE)</formula>
    </cfRule>
    <cfRule type="expression" dxfId="5159" priority="3181">
      <formula>IF($B37="Quoting",TRUE,FALSE)</formula>
    </cfRule>
    <cfRule type="expression" dxfId="5158" priority="3182">
      <formula>IF($B37="Quoting",TRUE,FALSE)</formula>
    </cfRule>
    <cfRule type="expression" dxfId="5157" priority="3183">
      <formula>IF($B37="Quoting",TRUE,FALSE)</formula>
    </cfRule>
    <cfRule type="expression" dxfId="5156" priority="3184">
      <formula>IF($B37="Quoting",TRUE,FALSE)</formula>
    </cfRule>
    <cfRule type="expression" dxfId="5155" priority="3185">
      <formula>IF($B37="Quoting",TRUE,FALSE)</formula>
    </cfRule>
    <cfRule type="expression" dxfId="5154" priority="3186">
      <formula>IF($B37="Quoting",TRUE,FALSE)</formula>
    </cfRule>
    <cfRule type="expression" dxfId="5153" priority="3187">
      <formula>IF($B37="Quoting",TRUE,FALSE)</formula>
    </cfRule>
    <cfRule type="expression" dxfId="5152" priority="3188">
      <formula>IF($B37="Quoting",TRUE,FALSE)</formula>
    </cfRule>
    <cfRule type="expression" dxfId="5151" priority="3189">
      <formula>IF($B37="Quoting",TRUE,FALSE)</formula>
    </cfRule>
    <cfRule type="expression" dxfId="5150" priority="3190">
      <formula>IF($B37="Quoting",TRUE,FALSE)</formula>
    </cfRule>
    <cfRule type="expression" dxfId="5149" priority="3191">
      <formula>IF($B37="Quoting",TRUE,FALSE)</formula>
    </cfRule>
    <cfRule type="expression" dxfId="5148" priority="3192">
      <formula>IF($B37="Quoting",TRUE,FALSE)</formula>
    </cfRule>
    <cfRule type="expression" dxfId="5147" priority="3193">
      <formula>IF($B37="Quoting",TRUE,FALSE)</formula>
    </cfRule>
    <cfRule type="expression" dxfId="5146" priority="3194">
      <formula>IF($B37="Quoting",TRUE,FALSE)</formula>
    </cfRule>
    <cfRule type="expression" dxfId="5145" priority="3195">
      <formula>IF($B37="Quoting",TRUE,FALSE)</formula>
    </cfRule>
    <cfRule type="expression" dxfId="5144" priority="3196">
      <formula>IF($B37="Quoting",TRUE,FALSE)</formula>
    </cfRule>
    <cfRule type="expression" dxfId="5143" priority="3197">
      <formula>IF($B37="Quoting",TRUE,FALSE)</formula>
    </cfRule>
    <cfRule type="expression" dxfId="5142" priority="3198">
      <formula>IF($B37="Quoting",TRUE,FALSE)</formula>
    </cfRule>
    <cfRule type="expression" dxfId="5141" priority="3199">
      <formula>IF($B37="Quoting",TRUE,FALSE)</formula>
    </cfRule>
    <cfRule type="expression" dxfId="5140" priority="3200">
      <formula>IF($B37="Quoting",TRUE,FALSE)</formula>
    </cfRule>
    <cfRule type="expression" dxfId="5139" priority="3201">
      <formula>IF($B37="Quoting",TRUE,FALSE)</formula>
    </cfRule>
    <cfRule type="expression" dxfId="5138" priority="3202">
      <formula>IF($B37="Quoting",TRUE,FALSE)</formula>
    </cfRule>
    <cfRule type="expression" dxfId="5137" priority="3203">
      <formula>IF($B37="Quoting",TRUE,FALSE)</formula>
    </cfRule>
    <cfRule type="expression" dxfId="5136" priority="3204">
      <formula>IF($B37="Quoting",TRUE,FALSE)</formula>
    </cfRule>
    <cfRule type="expression" dxfId="5135" priority="3205">
      <formula>IF($B37="Quoting",TRUE,FALSE)</formula>
    </cfRule>
    <cfRule type="expression" dxfId="5134" priority="3206">
      <formula>IF($B37="Quoting",TRUE,FALSE)</formula>
    </cfRule>
    <cfRule type="expression" dxfId="5133" priority="3207">
      <formula>IF($B37="Quoting",TRUE,FALSE)</formula>
    </cfRule>
    <cfRule type="expression" dxfId="5132" priority="3208">
      <formula>IF($B37="Quoting",TRUE,FALSE)</formula>
    </cfRule>
    <cfRule type="expression" dxfId="5131" priority="3209">
      <formula>IF($B37="Quoting",TRUE,FALSE)</formula>
    </cfRule>
    <cfRule type="expression" dxfId="5130" priority="3210">
      <formula>IF($B37="Quoting",TRUE,FALSE)</formula>
    </cfRule>
    <cfRule type="expression" dxfId="5129" priority="3211">
      <formula>IF($B37="Quoting",TRUE,FALSE)</formula>
    </cfRule>
    <cfRule type="expression" dxfId="5128" priority="3212">
      <formula>IF($B37="Quoting",TRUE,FALSE)</formula>
    </cfRule>
    <cfRule type="expression" dxfId="5127" priority="3213">
      <formula>IF($B37="Quoting",TRUE,FALSE)</formula>
    </cfRule>
    <cfRule type="expression" dxfId="5126" priority="3214">
      <formula>IF($B37="Quoting",TRUE,FALSE)</formula>
    </cfRule>
    <cfRule type="expression" dxfId="5125" priority="3215">
      <formula>IF($B37="Quoting",TRUE,FALSE)</formula>
    </cfRule>
    <cfRule type="expression" dxfId="5124" priority="3216">
      <formula>IF($B37="Quoting",TRUE,FALSE)</formula>
    </cfRule>
    <cfRule type="expression" dxfId="5123" priority="3217">
      <formula>IF($B37="Quoting",TRUE,FALSE)</formula>
    </cfRule>
    <cfRule type="expression" dxfId="5122" priority="3218">
      <formula>IF($B37="Quoting",TRUE,FALSE)</formula>
    </cfRule>
    <cfRule type="expression" dxfId="5121" priority="3219">
      <formula>IF($B37="Quoting",TRUE,FALSE)</formula>
    </cfRule>
    <cfRule type="expression" dxfId="5120" priority="3220">
      <formula>IF($B37="Quoting",TRUE,FALSE)</formula>
    </cfRule>
    <cfRule type="expression" dxfId="5119" priority="3221">
      <formula>IF($B37="Quoting",TRUE,FALSE)</formula>
    </cfRule>
    <cfRule type="expression" dxfId="5118" priority="3222">
      <formula>IF($B37="Quoting",TRUE,FALSE)</formula>
    </cfRule>
    <cfRule type="expression" dxfId="5117" priority="3223">
      <formula>IF($B37="Quoting",TRUE,FALSE)</formula>
    </cfRule>
    <cfRule type="expression" dxfId="5116" priority="3224">
      <formula>IF($B37="Quoting",TRUE,FALSE)</formula>
    </cfRule>
    <cfRule type="expression" dxfId="5115" priority="3225">
      <formula>IF($B37="Quoting",TRUE,FALSE)</formula>
    </cfRule>
    <cfRule type="expression" dxfId="5114" priority="3226">
      <formula>IF($B37="Quoting",TRUE,FALSE)</formula>
    </cfRule>
    <cfRule type="expression" dxfId="5113" priority="3227">
      <formula>IF($B37="Quoting",TRUE,FALSE)</formula>
    </cfRule>
    <cfRule type="expression" dxfId="5112" priority="3228">
      <formula>IF($B37="Quoting",TRUE,FALSE)</formula>
    </cfRule>
    <cfRule type="expression" dxfId="5111" priority="3229">
      <formula>IF($B37="Quoting",TRUE,FALSE)</formula>
    </cfRule>
    <cfRule type="expression" dxfId="5110" priority="3230">
      <formula>IF($B37="Quoting",TRUE,FALSE)</formula>
    </cfRule>
    <cfRule type="expression" dxfId="5109" priority="3231">
      <formula>IF($B37="Quoting",TRUE,FALSE)</formula>
    </cfRule>
    <cfRule type="expression" dxfId="5108" priority="3232">
      <formula>IF($B37="Quoting",TRUE,FALSE)</formula>
    </cfRule>
    <cfRule type="expression" dxfId="5107" priority="3233">
      <formula>IF($B37="Quoting",TRUE,FALSE)</formula>
    </cfRule>
    <cfRule type="expression" dxfId="5106" priority="3234">
      <formula>IF($B37="Quoting",TRUE,FALSE)</formula>
    </cfRule>
    <cfRule type="expression" dxfId="5105" priority="3235">
      <formula>IF($B37="Quoting",TRUE,FALSE)</formula>
    </cfRule>
    <cfRule type="expression" dxfId="5104" priority="3236">
      <formula>IF($B37="Quoting",TRUE,FALSE)</formula>
    </cfRule>
    <cfRule type="expression" dxfId="5103" priority="3237">
      <formula>IF($B37="Quoting",TRUE,FALSE)</formula>
    </cfRule>
    <cfRule type="expression" dxfId="5102" priority="3238">
      <formula>IF($B37="Quoting",TRUE,FALSE)</formula>
    </cfRule>
    <cfRule type="expression" dxfId="5101" priority="3239">
      <formula>IF($B37="Quoting",TRUE,FALSE)</formula>
    </cfRule>
    <cfRule type="expression" dxfId="5100" priority="3240">
      <formula>IF($B37="Quoting",TRUE,FALSE)</formula>
    </cfRule>
    <cfRule type="expression" dxfId="5099" priority="3241">
      <formula>IF($B37="Quoting",TRUE,FALSE)</formula>
    </cfRule>
    <cfRule type="expression" dxfId="5098" priority="3242">
      <formula>IF($B37="Quoting",TRUE,FALSE)</formula>
    </cfRule>
    <cfRule type="expression" dxfId="5097" priority="3243">
      <formula>IF($B37="Quoting",TRUE,FALSE)</formula>
    </cfRule>
    <cfRule type="expression" dxfId="5096" priority="3244">
      <formula>IF($B37="Quoting",TRUE,FALSE)</formula>
    </cfRule>
    <cfRule type="expression" dxfId="5095" priority="3245">
      <formula>IF($B37="Quoting",TRUE,FALSE)</formula>
    </cfRule>
    <cfRule type="expression" dxfId="5094" priority="3246">
      <formula>IF($B37="Quoting",TRUE,FALSE)</formula>
    </cfRule>
    <cfRule type="expression" dxfId="5093" priority="3247">
      <formula>IF($B37="Quoting",TRUE,FALSE)</formula>
    </cfRule>
    <cfRule type="expression" dxfId="5092" priority="3248">
      <formula>IF($B37="Quoting",TRUE,FALSE)</formula>
    </cfRule>
    <cfRule type="expression" dxfId="5091" priority="3249">
      <formula>IF($B37="Quoting",TRUE,FALSE)</formula>
    </cfRule>
    <cfRule type="expression" dxfId="5090" priority="3250">
      <formula>IF($B37="Quoting",TRUE,FALSE)</formula>
    </cfRule>
    <cfRule type="expression" dxfId="5089" priority="3251">
      <formula>IF($B37="Quoting",TRUE,FALSE)</formula>
    </cfRule>
    <cfRule type="expression" dxfId="5088" priority="3252">
      <formula>IF($B37="Quoting",TRUE,FALSE)</formula>
    </cfRule>
    <cfRule type="expression" dxfId="5087" priority="3253">
      <formula>IF($B37="Quoting",TRUE,FALSE)</formula>
    </cfRule>
    <cfRule type="expression" dxfId="5086" priority="3254">
      <formula>IF($B37="Quoting",TRUE,FALSE)</formula>
    </cfRule>
    <cfRule type="expression" dxfId="5085" priority="3255">
      <formula>IF($B37="Quoting",TRUE,FALSE)</formula>
    </cfRule>
    <cfRule type="expression" dxfId="5084" priority="3256">
      <formula>IF($B37="Quoting",TRUE,FALSE)</formula>
    </cfRule>
    <cfRule type="expression" dxfId="5083" priority="3257">
      <formula>IF($B37="Quoting",TRUE,FALSE)</formula>
    </cfRule>
    <cfRule type="expression" dxfId="5082" priority="3258">
      <formula>IF($B37="Quoting",TRUE,FALSE)</formula>
    </cfRule>
    <cfRule type="expression" dxfId="5081" priority="3259">
      <formula>IF($B37="Quoting",TRUE,FALSE)</formula>
    </cfRule>
    <cfRule type="expression" dxfId="5080" priority="3260">
      <formula>IF($B37="Quoting",TRUE,FALSE)</formula>
    </cfRule>
    <cfRule type="expression" dxfId="5079" priority="3261">
      <formula>IF($B37="Quoting",TRUE,FALSE)</formula>
    </cfRule>
    <cfRule type="expression" dxfId="5078" priority="3262">
      <formula>IF($B37="Quoting",TRUE,FALSE)</formula>
    </cfRule>
    <cfRule type="expression" dxfId="5077" priority="3263">
      <formula>IF($B37="Quoting",TRUE,FALSE)</formula>
    </cfRule>
    <cfRule type="expression" dxfId="5076" priority="3264">
      <formula>IF($B37="Quoting",TRUE,FALSE)</formula>
    </cfRule>
    <cfRule type="expression" dxfId="5075" priority="3265">
      <formula>IF($B37="Quoting",TRUE,FALSE)</formula>
    </cfRule>
    <cfRule type="expression" dxfId="5074" priority="3266">
      <formula>IF($B37="Quoting",TRUE,FALSE)</formula>
    </cfRule>
    <cfRule type="expression" dxfId="5073" priority="3267">
      <formula>IF($B37="Quoting",TRUE,FALSE)</formula>
    </cfRule>
    <cfRule type="expression" dxfId="5072" priority="3268">
      <formula>IF($B37="Quoting",TRUE,FALSE)</formula>
    </cfRule>
    <cfRule type="expression" dxfId="5071" priority="3269">
      <formula>IF($B37="Quoting",TRUE,FALSE)</formula>
    </cfRule>
    <cfRule type="expression" dxfId="5070" priority="3270">
      <formula>IF($B37="Quoting",TRUE,FALSE)</formula>
    </cfRule>
    <cfRule type="expression" dxfId="5069" priority="3271">
      <formula>IF($B37="Quoting",TRUE,FALSE)</formula>
    </cfRule>
    <cfRule type="expression" dxfId="5068" priority="3272">
      <formula>IF($B37="Quoting",TRUE,FALSE)</formula>
    </cfRule>
    <cfRule type="expression" dxfId="5067" priority="3273">
      <formula>IF($B37="Quoting",TRUE,FALSE)</formula>
    </cfRule>
    <cfRule type="expression" dxfId="5066" priority="3274">
      <formula>IF($B37="Quoting",TRUE,FALSE)</formula>
    </cfRule>
    <cfRule type="expression" dxfId="5065" priority="3275">
      <formula>IF($B37="Quoting",TRUE,FALSE)</formula>
    </cfRule>
    <cfRule type="expression" dxfId="5064" priority="3276">
      <formula>IF($B37="Quoting",TRUE,FALSE)</formula>
    </cfRule>
    <cfRule type="expression" dxfId="5063" priority="3277">
      <formula>IF($B37="Quoting",TRUE,FALSE)</formula>
    </cfRule>
    <cfRule type="expression" dxfId="5062" priority="3278">
      <formula>IF($B37="Quoting",TRUE,FALSE)</formula>
    </cfRule>
    <cfRule type="expression" dxfId="5061" priority="3279">
      <formula>IF($B37="Quoting",TRUE,FALSE)</formula>
    </cfRule>
    <cfRule type="expression" dxfId="5060" priority="3280">
      <formula>IF($B37="Quoting",TRUE,FALSE)</formula>
    </cfRule>
    <cfRule type="expression" dxfId="5059" priority="3281">
      <formula>IF($B37="Quoting",TRUE,FALSE)</formula>
    </cfRule>
    <cfRule type="expression" dxfId="5058" priority="3282">
      <formula>IF($B37="Quoting",TRUE,FALSE)</formula>
    </cfRule>
    <cfRule type="expression" dxfId="5057" priority="3283">
      <formula>IF($B37="Quoting",TRUE,FALSE)</formula>
    </cfRule>
    <cfRule type="expression" dxfId="5056" priority="3284">
      <formula>IF($B37="Quoting",TRUE,FALSE)</formula>
    </cfRule>
    <cfRule type="expression" dxfId="5055" priority="3285">
      <formula>IF($B37="Quoting",TRUE,FALSE)</formula>
    </cfRule>
    <cfRule type="expression" dxfId="5054" priority="3286">
      <formula>IF($B37="Quoting",TRUE,FALSE)</formula>
    </cfRule>
    <cfRule type="expression" dxfId="5053" priority="3287">
      <formula>IF($B37="Quoting",TRUE,FALSE)</formula>
    </cfRule>
    <cfRule type="expression" dxfId="5052" priority="3288">
      <formula>IF($B37="Quoting",TRUE,FALSE)</formula>
    </cfRule>
    <cfRule type="expression" dxfId="5051" priority="3289">
      <formula>IF($B37="Quoting",TRUE,FALSE)</formula>
    </cfRule>
    <cfRule type="expression" dxfId="5050" priority="3290">
      <formula>IF($B37="Quoting",TRUE,FALSE)</formula>
    </cfRule>
    <cfRule type="expression" dxfId="5049" priority="3291">
      <formula>IF($B37="Quoting",TRUE,FALSE)</formula>
    </cfRule>
    <cfRule type="expression" dxfId="5048" priority="3292">
      <formula>IF($B37="Quoting",TRUE,FALSE)</formula>
    </cfRule>
    <cfRule type="expression" dxfId="5047" priority="3293">
      <formula>IF($B37="Quoting",TRUE,FALSE)</formula>
    </cfRule>
    <cfRule type="expression" dxfId="5046" priority="3294">
      <formula>IF($B37="Quoting",TRUE,FALSE)</formula>
    </cfRule>
    <cfRule type="expression" dxfId="5045" priority="3295">
      <formula>IF($B37="Quoting",TRUE,FALSE)</formula>
    </cfRule>
    <cfRule type="expression" dxfId="5044" priority="3296">
      <formula>IF($B37="Quoting",TRUE,FALSE)</formula>
    </cfRule>
    <cfRule type="expression" dxfId="5043" priority="3297">
      <formula>IF($B37="Quoting",TRUE,FALSE)</formula>
    </cfRule>
    <cfRule type="expression" dxfId="5042" priority="3298">
      <formula>IF($B37="Quoting",TRUE,FALSE)</formula>
    </cfRule>
    <cfRule type="expression" dxfId="5041" priority="3299">
      <formula>IF($B37="Quoting",TRUE,FALSE)</formula>
    </cfRule>
    <cfRule type="expression" dxfId="5040" priority="3300">
      <formula>IF($B37="Quoting",TRUE,FALSE)</formula>
    </cfRule>
    <cfRule type="expression" dxfId="5039" priority="3301">
      <formula>IF($B37="Quoting",TRUE,FALSE)</formula>
    </cfRule>
    <cfRule type="expression" dxfId="5038" priority="3302">
      <formula>IF($B37="Quoting",TRUE,FALSE)</formula>
    </cfRule>
    <cfRule type="expression" dxfId="5037" priority="3303">
      <formula>IF($B37="Quoting",TRUE,FALSE)</formula>
    </cfRule>
    <cfRule type="expression" dxfId="5036" priority="3304">
      <formula>IF($B37="Quoting",TRUE,FALSE)</formula>
    </cfRule>
    <cfRule type="expression" dxfId="5035" priority="3305">
      <formula>IF($B37="Quoting",TRUE,FALSE)</formula>
    </cfRule>
    <cfRule type="expression" dxfId="5034" priority="3306">
      <formula>IF($B37="Quoting",TRUE,FALSE)</formula>
    </cfRule>
    <cfRule type="expression" dxfId="5033" priority="3307">
      <formula>IF($B37="Quoting",TRUE,FALSE)</formula>
    </cfRule>
    <cfRule type="expression" dxfId="5032" priority="3308">
      <formula>IF($B37="Quoting",TRUE,FALSE)</formula>
    </cfRule>
    <cfRule type="expression" dxfId="5031" priority="3309">
      <formula>IF($B37="Quoting",TRUE,FALSE)</formula>
    </cfRule>
    <cfRule type="expression" dxfId="5030" priority="3310">
      <formula>IF($B37="Quoting",TRUE,FALSE)</formula>
    </cfRule>
    <cfRule type="expression" dxfId="5029" priority="3311">
      <formula>IF($B37="Quoting",TRUE,FALSE)</formula>
    </cfRule>
    <cfRule type="expression" dxfId="5028" priority="3312">
      <formula>IF($B37="Quoting",TRUE,FALSE)</formula>
    </cfRule>
    <cfRule type="expression" dxfId="5027" priority="3313">
      <formula>IF($B37="Quoting",TRUE,FALSE)</formula>
    </cfRule>
    <cfRule type="expression" dxfId="5026" priority="3314">
      <formula>IF($B37="Quoting",TRUE,FALSE)</formula>
    </cfRule>
    <cfRule type="expression" dxfId="5025" priority="3315">
      <formula>IF($B37="Quoting",TRUE,FALSE)</formula>
    </cfRule>
    <cfRule type="expression" dxfId="5024" priority="3316">
      <formula>IF($B37="Quoting",TRUE,FALSE)</formula>
    </cfRule>
    <cfRule type="expression" dxfId="5023" priority="3317">
      <formula>IF($B37="Quoting",TRUE,FALSE)</formula>
    </cfRule>
    <cfRule type="expression" dxfId="5022" priority="3318">
      <formula>IF($B37="Quoting",TRUE,FALSE)</formula>
    </cfRule>
    <cfRule type="expression" dxfId="5021" priority="3319">
      <formula>IF($B37="Quoting",TRUE,FALSE)</formula>
    </cfRule>
    <cfRule type="expression" dxfId="5020" priority="3320">
      <formula>IF($B37="Quoting",TRUE,FALSE)</formula>
    </cfRule>
    <cfRule type="expression" dxfId="5019" priority="3321">
      <formula>IF($B37="Quoting",TRUE,FALSE)</formula>
    </cfRule>
    <cfRule type="expression" dxfId="5018" priority="3322">
      <formula>IF($B37="Quoting",TRUE,FALSE)</formula>
    </cfRule>
    <cfRule type="expression" dxfId="5017" priority="3323">
      <formula>IF($B37="Quoting",TRUE,FALSE)</formula>
    </cfRule>
    <cfRule type="expression" dxfId="5016" priority="3324">
      <formula>IF($B37="Quoting",TRUE,FALSE)</formula>
    </cfRule>
    <cfRule type="expression" dxfId="5015" priority="3325">
      <formula>IF($B37="Quoting",TRUE,FALSE)</formula>
    </cfRule>
    <cfRule type="expression" dxfId="5014" priority="3326">
      <formula>IF($B37="Quoting",TRUE,FALSE)</formula>
    </cfRule>
    <cfRule type="expression" dxfId="5013" priority="3327">
      <formula>IF($B37="Quoting",TRUE,FALSE)</formula>
    </cfRule>
    <cfRule type="expression" dxfId="5012" priority="3328">
      <formula>IF($B37="Quoting",TRUE,FALSE)</formula>
    </cfRule>
    <cfRule type="expression" dxfId="5011" priority="3329">
      <formula>IF($B37="Quoting",TRUE,FALSE)</formula>
    </cfRule>
    <cfRule type="expression" dxfId="5010" priority="3330">
      <formula>IF($B37="Quoting",TRUE,FALSE)</formula>
    </cfRule>
    <cfRule type="expression" dxfId="5009" priority="3331">
      <formula>IF($B37="Quoting",TRUE,FALSE)</formula>
    </cfRule>
    <cfRule type="expression" dxfId="5008" priority="3332">
      <formula>IF($B37="Quoting",TRUE,FALSE)</formula>
    </cfRule>
    <cfRule type="expression" dxfId="5007" priority="3333">
      <formula>IF($B37="Quoting",TRUE,FALSE)</formula>
    </cfRule>
    <cfRule type="expression" dxfId="5006" priority="3334">
      <formula>IF($B37="Quoting",TRUE,FALSE)</formula>
    </cfRule>
    <cfRule type="expression" dxfId="5005" priority="3335">
      <formula>IF($B37="Quoting",TRUE,FALSE)</formula>
    </cfRule>
    <cfRule type="expression" dxfId="5004" priority="3336">
      <formula>IF($B37="Quoting",TRUE,FALSE)</formula>
    </cfRule>
    <cfRule type="expression" dxfId="5003" priority="3337">
      <formula>IF($B37="Quoting",TRUE,FALSE)</formula>
    </cfRule>
    <cfRule type="expression" dxfId="5002" priority="3338">
      <formula>IF($B37="Quoting",TRUE,FALSE)</formula>
    </cfRule>
    <cfRule type="expression" dxfId="5001" priority="3339">
      <formula>IF($B37="Quoting",TRUE,FALSE)</formula>
    </cfRule>
    <cfRule type="expression" dxfId="5000" priority="3340">
      <formula>IF($B37="Quoting",TRUE,FALSE)</formula>
    </cfRule>
    <cfRule type="expression" dxfId="4999" priority="3341">
      <formula>IF($B37="Quoting",TRUE,FALSE)</formula>
    </cfRule>
    <cfRule type="expression" dxfId="4998" priority="3342">
      <formula>IF($B37="Quoting",TRUE,FALSE)</formula>
    </cfRule>
    <cfRule type="expression" dxfId="4997" priority="3343">
      <formula>IF($B37="Quoting",TRUE,FALSE)</formula>
    </cfRule>
    <cfRule type="expression" dxfId="4996" priority="3344">
      <formula>IF($B37="Quoting",TRUE,FALSE)</formula>
    </cfRule>
    <cfRule type="expression" dxfId="4995" priority="3345">
      <formula>IF($B37="Quoting",TRUE,FALSE)</formula>
    </cfRule>
    <cfRule type="expression" dxfId="4994" priority="3346">
      <formula>IF($B37="Quoting",TRUE,FALSE)</formula>
    </cfRule>
    <cfRule type="expression" dxfId="4993" priority="3347">
      <formula>IF($B37="Quoting",TRUE,FALSE)</formula>
    </cfRule>
    <cfRule type="expression" dxfId="4992" priority="3348">
      <formula>IF($B37="Quoting",TRUE,FALSE)</formula>
    </cfRule>
    <cfRule type="expression" dxfId="4991" priority="3349">
      <formula>IF($B37="Quoting",TRUE,FALSE)</formula>
    </cfRule>
    <cfRule type="expression" dxfId="4990" priority="3350">
      <formula>IF($B37="Quoting",TRUE,FALSE)</formula>
    </cfRule>
    <cfRule type="expression" dxfId="4989" priority="3351">
      <formula>IF($B37="Quoting",TRUE,FALSE)</formula>
    </cfRule>
    <cfRule type="expression" dxfId="4988" priority="3352">
      <formula>IF($B37="Quoting",TRUE,FALSE)</formula>
    </cfRule>
    <cfRule type="expression" dxfId="4987" priority="3353">
      <formula>IF($B37="Quoting",TRUE,FALSE)</formula>
    </cfRule>
    <cfRule type="expression" dxfId="4986" priority="3354">
      <formula>IF($B37="Quoting",TRUE,FALSE)</formula>
    </cfRule>
    <cfRule type="expression" dxfId="4985" priority="3355">
      <formula>IF($B37="Quoting",TRUE,FALSE)</formula>
    </cfRule>
    <cfRule type="expression" dxfId="4984" priority="3356">
      <formula>IF($B37="Quoting",TRUE,FALSE)</formula>
    </cfRule>
    <cfRule type="expression" dxfId="4983" priority="3357">
      <formula>IF($B37="Quoting",TRUE,FALSE)</formula>
    </cfRule>
    <cfRule type="expression" dxfId="4982" priority="3358">
      <formula>IF($B37="Quoting",TRUE,FALSE)</formula>
    </cfRule>
    <cfRule type="expression" dxfId="4981" priority="3359">
      <formula>IF($B37="Quoting",TRUE,FALSE)</formula>
    </cfRule>
    <cfRule type="expression" dxfId="4980" priority="3360">
      <formula>IF($B37="Quoting",TRUE,FALSE)</formula>
    </cfRule>
    <cfRule type="expression" dxfId="4979" priority="3361">
      <formula>IF($B37="Quoting",TRUE,FALSE)</formula>
    </cfRule>
    <cfRule type="expression" dxfId="4978" priority="3362">
      <formula>IF($B37="Quoting",TRUE,FALSE)</formula>
    </cfRule>
    <cfRule type="expression" dxfId="4977" priority="3363">
      <formula>IF($B37="Quoting",TRUE,FALSE)</formula>
    </cfRule>
    <cfRule type="expression" dxfId="4976" priority="3364">
      <formula>IF($B37="Quoting",TRUE,FALSE)</formula>
    </cfRule>
    <cfRule type="expression" dxfId="4975" priority="3365">
      <formula>IF($B37="Quoting",TRUE,FALSE)</formula>
    </cfRule>
    <cfRule type="expression" dxfId="4974" priority="3366">
      <formula>IF($B37="Quoting",TRUE,FALSE)</formula>
    </cfRule>
    <cfRule type="expression" dxfId="4973" priority="3367">
      <formula>IF($B37="Quoting",TRUE,FALSE)</formula>
    </cfRule>
    <cfRule type="expression" dxfId="4972" priority="3368">
      <formula>IF($B37="Quoting",TRUE,FALSE)</formula>
    </cfRule>
    <cfRule type="expression" dxfId="4971" priority="3369">
      <formula>IF($B37="Quoting",TRUE,FALSE)</formula>
    </cfRule>
    <cfRule type="expression" dxfId="4970" priority="3370">
      <formula>IF($B37="Quoting",TRUE,FALSE)</formula>
    </cfRule>
    <cfRule type="expression" dxfId="4969" priority="3371">
      <formula>IF($B37="Quoting",TRUE,FALSE)</formula>
    </cfRule>
    <cfRule type="expression" dxfId="4968" priority="3372">
      <formula>IF($B37="Quoting",TRUE,FALSE)</formula>
    </cfRule>
    <cfRule type="expression" dxfId="4967" priority="3373">
      <formula>IF($B37="Quoting",TRUE,FALSE)</formula>
    </cfRule>
    <cfRule type="expression" dxfId="4966" priority="3374">
      <formula>IF($B37="Quoting",TRUE,FALSE)</formula>
    </cfRule>
    <cfRule type="expression" dxfId="4965" priority="3375">
      <formula>IF($B37="Quoting",TRUE,FALSE)</formula>
    </cfRule>
    <cfRule type="expression" dxfId="4964" priority="3376">
      <formula>IF($B37="Quoting",TRUE,FALSE)</formula>
    </cfRule>
    <cfRule type="expression" dxfId="4963" priority="3377">
      <formula>IF($B37="Quoting",TRUE,FALSE)</formula>
    </cfRule>
    <cfRule type="expression" dxfId="4962" priority="3378">
      <formula>IF($B37="Quoting",TRUE,FALSE)</formula>
    </cfRule>
    <cfRule type="expression" dxfId="4961" priority="3379">
      <formula>IF($B37="Quoting",TRUE,FALSE)</formula>
    </cfRule>
    <cfRule type="expression" dxfId="4960" priority="3380">
      <formula>IF($B37="Quoting",TRUE,FALSE)</formula>
    </cfRule>
    <cfRule type="expression" dxfId="4959" priority="3381">
      <formula>IF($B37="Quoting",TRUE,FALSE)</formula>
    </cfRule>
    <cfRule type="expression" dxfId="4958" priority="3382">
      <formula>IF($B37="Quoting",TRUE,FALSE)</formula>
    </cfRule>
    <cfRule type="expression" dxfId="4957" priority="3383">
      <formula>IF($B37="Quoting",TRUE,FALSE)</formula>
    </cfRule>
    <cfRule type="expression" dxfId="4956" priority="3384">
      <formula>IF($B37="Quoting",TRUE,FALSE)</formula>
    </cfRule>
    <cfRule type="expression" dxfId="4955" priority="3385">
      <formula>IF($B37="Quoting",TRUE,FALSE)</formula>
    </cfRule>
    <cfRule type="expression" dxfId="4954" priority="3386">
      <formula>IF($B37="Quoting",TRUE,FALSE)</formula>
    </cfRule>
    <cfRule type="expression" dxfId="4953" priority="3387">
      <formula>IF($B37="Quoting",TRUE,FALSE)</formula>
    </cfRule>
    <cfRule type="expression" dxfId="4952" priority="3388">
      <formula>IF($B37="Quoting",TRUE,FALSE)</formula>
    </cfRule>
    <cfRule type="expression" dxfId="4951" priority="3389">
      <formula>IF($B37="Quoting",TRUE,FALSE)</formula>
    </cfRule>
    <cfRule type="expression" dxfId="4950" priority="3390">
      <formula>IF($B37="Quoting",TRUE,FALSE)</formula>
    </cfRule>
    <cfRule type="expression" dxfId="4949" priority="3391">
      <formula>IF($B37="Quoting",TRUE,FALSE)</formula>
    </cfRule>
    <cfRule type="expression" dxfId="4948" priority="3392">
      <formula>IF($B37="Quoting",TRUE,FALSE)</formula>
    </cfRule>
    <cfRule type="expression" dxfId="4947" priority="3393">
      <formula>IF($B37="Quoting",TRUE,FALSE)</formula>
    </cfRule>
    <cfRule type="expression" dxfId="4946" priority="3394">
      <formula>IF($B37="Quoting",TRUE,FALSE)</formula>
    </cfRule>
    <cfRule type="expression" dxfId="4945" priority="3395">
      <formula>IF($B37="Quoting",TRUE,FALSE)</formula>
    </cfRule>
    <cfRule type="expression" dxfId="4944" priority="3396">
      <formula>IF($B37="Quoting",TRUE,FALSE)</formula>
    </cfRule>
    <cfRule type="expression" dxfId="4943" priority="3397">
      <formula>IF($B37="Quoting",TRUE,FALSE)</formula>
    </cfRule>
    <cfRule type="expression" dxfId="4942" priority="3398">
      <formula>IF($B37="Quoting",TRUE,FALSE)</formula>
    </cfRule>
    <cfRule type="expression" dxfId="4941" priority="3399">
      <formula>IF($B37="Quoting",TRUE,FALSE)</formula>
    </cfRule>
    <cfRule type="expression" dxfId="4940" priority="3400">
      <formula>IF($B37="Quoting",TRUE,FALSE)</formula>
    </cfRule>
    <cfRule type="expression" dxfId="4939" priority="3401">
      <formula>IF($B37="Quoting",TRUE,FALSE)</formula>
    </cfRule>
    <cfRule type="expression" dxfId="4938" priority="3402">
      <formula>IF($B37="Quoting",TRUE,FALSE)</formula>
    </cfRule>
    <cfRule type="expression" dxfId="4937" priority="3403">
      <formula>IF($B37="Quoting",TRUE,FALSE)</formula>
    </cfRule>
    <cfRule type="expression" dxfId="4936" priority="3404">
      <formula>IF($B37="Quoting",TRUE,FALSE)</formula>
    </cfRule>
    <cfRule type="expression" dxfId="4935" priority="3405">
      <formula>IF($B37="Quoting",TRUE,FALSE)</formula>
    </cfRule>
    <cfRule type="expression" dxfId="4934" priority="3406">
      <formula>IF($B37="Quoting",TRUE,FALSE)</formula>
    </cfRule>
    <cfRule type="expression" dxfId="4933" priority="3407">
      <formula>IF($B37="Quoting",TRUE,FALSE)</formula>
    </cfRule>
    <cfRule type="expression" dxfId="4932" priority="3408">
      <formula>IF($B37="Quoting",TRUE,FALSE)</formula>
    </cfRule>
    <cfRule type="expression" dxfId="4931" priority="3409">
      <formula>IF($B37="Quoting",TRUE,FALSE)</formula>
    </cfRule>
    <cfRule type="expression" dxfId="4930" priority="3410">
      <formula>IF($B37="Quoting",TRUE,FALSE)</formula>
    </cfRule>
    <cfRule type="expression" dxfId="4929" priority="3411">
      <formula>IF($B37="Quoting",TRUE,FALSE)</formula>
    </cfRule>
    <cfRule type="expression" dxfId="4928" priority="3412">
      <formula>IF($B37="Quoting",TRUE,FALSE)</formula>
    </cfRule>
    <cfRule type="expression" dxfId="4927" priority="3413">
      <formula>IF($B37="Quoting",TRUE,FALSE)</formula>
    </cfRule>
    <cfRule type="expression" dxfId="4926" priority="3414">
      <formula>IF($B37="Quoting",TRUE,FALSE)</formula>
    </cfRule>
    <cfRule type="expression" dxfId="4925" priority="3415">
      <formula>IF($B37="Quoting",TRUE,FALSE)</formula>
    </cfRule>
    <cfRule type="expression" dxfId="4924" priority="3416">
      <formula>IF($B37="Quoting",TRUE,FALSE)</formula>
    </cfRule>
    <cfRule type="expression" dxfId="4923" priority="3417">
      <formula>IF($B37="Quoting",TRUE,FALSE)</formula>
    </cfRule>
    <cfRule type="expression" dxfId="4922" priority="3418">
      <formula>IF($B37="Quoting",TRUE,FALSE)</formula>
    </cfRule>
    <cfRule type="expression" dxfId="4921" priority="3419">
      <formula>IF($B37="Quoting",TRUE,FALSE)</formula>
    </cfRule>
    <cfRule type="expression" dxfId="4920" priority="3420">
      <formula>IF($B37="Quoting",TRUE,FALSE)</formula>
    </cfRule>
    <cfRule type="expression" dxfId="4919" priority="3421">
      <formula>IF($B37="Quoting",TRUE,FALSE)</formula>
    </cfRule>
    <cfRule type="expression" dxfId="4918" priority="3422">
      <formula>IF($B37="Quoting",TRUE,FALSE)</formula>
    </cfRule>
    <cfRule type="expression" dxfId="4917" priority="3423">
      <formula>IF($B37="Quoting",TRUE,FALSE)</formula>
    </cfRule>
    <cfRule type="expression" dxfId="4916" priority="3424">
      <formula>IF($B37="Quoting",TRUE,FALSE)</formula>
    </cfRule>
    <cfRule type="expression" dxfId="4915" priority="3425">
      <formula>IF($B37="Quoting",TRUE,FALSE)</formula>
    </cfRule>
    <cfRule type="expression" dxfId="4914" priority="3426">
      <formula>IF($B37="Quoting",TRUE,FALSE)</formula>
    </cfRule>
    <cfRule type="expression" dxfId="4913" priority="3427">
      <formula>IF($B37="Quoting",TRUE,FALSE)</formula>
    </cfRule>
    <cfRule type="expression" dxfId="4912" priority="3428">
      <formula>IF($B37="Quoting",TRUE,FALSE)</formula>
    </cfRule>
    <cfRule type="expression" dxfId="4911" priority="3429">
      <formula>IF($B37="Quoting",TRUE,FALSE)</formula>
    </cfRule>
    <cfRule type="expression" dxfId="4910" priority="3430">
      <formula>IF($B37="Quoting",TRUE,FALSE)</formula>
    </cfRule>
    <cfRule type="expression" dxfId="4909" priority="3431">
      <formula>IF($B37="Quoting",TRUE,FALSE)</formula>
    </cfRule>
    <cfRule type="expression" dxfId="4908" priority="3432">
      <formula>IF($B37="Quoting",TRUE,FALSE)</formula>
    </cfRule>
    <cfRule type="expression" dxfId="4907" priority="3433">
      <formula>IF($B37="Quoting",TRUE,FALSE)</formula>
    </cfRule>
    <cfRule type="expression" dxfId="4906" priority="3434">
      <formula>IF($B37="Quoting",TRUE,FALSE)</formula>
    </cfRule>
    <cfRule type="expression" dxfId="4905" priority="3435">
      <formula>IF($B37="Quoting",TRUE,FALSE)</formula>
    </cfRule>
    <cfRule type="expression" dxfId="4904" priority="3436">
      <formula>IF($B37="Quoting",TRUE,FALSE)</formula>
    </cfRule>
    <cfRule type="expression" dxfId="4903" priority="3437">
      <formula>IF($B37="Quoting",TRUE,FALSE)</formula>
    </cfRule>
    <cfRule type="expression" dxfId="4902" priority="3438">
      <formula>IF($B37="Quoting",TRUE,FALSE)</formula>
    </cfRule>
    <cfRule type="expression" dxfId="4901" priority="3439">
      <formula>IF($B37="Quoting",TRUE,FALSE)</formula>
    </cfRule>
    <cfRule type="expression" dxfId="4900" priority="3440">
      <formula>IF($B37="Quoting",TRUE,FALSE)</formula>
    </cfRule>
    <cfRule type="expression" dxfId="4899" priority="3441">
      <formula>IF($B37="Quoting",TRUE,FALSE)</formula>
    </cfRule>
    <cfRule type="expression" dxfId="4898" priority="3442">
      <formula>IF($B37="Quoting",TRUE,FALSE)</formula>
    </cfRule>
    <cfRule type="expression" dxfId="4897" priority="3443">
      <formula>IF($B37="Quoting",TRUE,FALSE)</formula>
    </cfRule>
    <cfRule type="expression" dxfId="4896" priority="3444">
      <formula>IF($B37="Quoting",TRUE,FALSE)</formula>
    </cfRule>
    <cfRule type="expression" dxfId="4895" priority="3445">
      <formula>IF($B37="Quoting",TRUE,FALSE)</formula>
    </cfRule>
    <cfRule type="expression" dxfId="4894" priority="3446">
      <formula>IF($B37="Quoting",TRUE,FALSE)</formula>
    </cfRule>
    <cfRule type="expression" dxfId="4893" priority="3447">
      <formula>IF($B37="Quoting",TRUE,FALSE)</formula>
    </cfRule>
    <cfRule type="expression" dxfId="4892" priority="3448">
      <formula>IF($B37="Quoting",TRUE,FALSE)</formula>
    </cfRule>
    <cfRule type="expression" dxfId="4891" priority="3449">
      <formula>IF($B37="Quoting",TRUE,FALSE)</formula>
    </cfRule>
    <cfRule type="expression" dxfId="4890" priority="3450">
      <formula>IF($B37="Quoting",TRUE,FALSE)</formula>
    </cfRule>
    <cfRule type="expression" dxfId="4889" priority="3451">
      <formula>IF($B37="Quoting",TRUE,FALSE)</formula>
    </cfRule>
    <cfRule type="expression" dxfId="4888" priority="3452">
      <formula>IF($B37="Quoting",TRUE,FALSE)</formula>
    </cfRule>
    <cfRule type="expression" dxfId="4887" priority="3453">
      <formula>IF($B37="Quoting",TRUE,FALSE)</formula>
    </cfRule>
    <cfRule type="expression" dxfId="4886" priority="3454">
      <formula>IF($B37="Quoting",TRUE,FALSE)</formula>
    </cfRule>
    <cfRule type="expression" dxfId="4885" priority="3455">
      <formula>IF($B37="Quoting",TRUE,FALSE)</formula>
    </cfRule>
    <cfRule type="expression" dxfId="4884" priority="3456">
      <formula>IF($B37="Quoting",TRUE,FALSE)</formula>
    </cfRule>
    <cfRule type="expression" dxfId="4883" priority="3457">
      <formula>IF($B37="Quoting",TRUE,FALSE)</formula>
    </cfRule>
    <cfRule type="expression" dxfId="4882" priority="3458">
      <formula>IF($B37="Quoting",TRUE,FALSE)</formula>
    </cfRule>
    <cfRule type="expression" dxfId="4881" priority="3459">
      <formula>IF($B37="Quoting",TRUE,FALSE)</formula>
    </cfRule>
    <cfRule type="expression" dxfId="4880" priority="3460">
      <formula>IF($B37="Quoting",TRUE,FALSE)</formula>
    </cfRule>
    <cfRule type="expression" dxfId="4879" priority="3461">
      <formula>IF($B37="Quoting",TRUE,FALSE)</formula>
    </cfRule>
    <cfRule type="expression" dxfId="4878" priority="3462">
      <formula>IF($B37="Quoting",TRUE,FALSE)</formula>
    </cfRule>
    <cfRule type="expression" dxfId="4877" priority="3463">
      <formula>IF($B37="Quoting",TRUE,FALSE)</formula>
    </cfRule>
    <cfRule type="expression" dxfId="4876" priority="3464">
      <formula>IF($B37="Quoting",TRUE,FALSE)</formula>
    </cfRule>
    <cfRule type="expression" dxfId="4875" priority="3465">
      <formula>IF($B37="Quoting",TRUE,FALSE)</formula>
    </cfRule>
    <cfRule type="expression" dxfId="4874" priority="3466">
      <formula>IF($B37="Quoting",TRUE,FALSE)</formula>
    </cfRule>
    <cfRule type="expression" dxfId="4873" priority="3467">
      <formula>IF($B37="Quoting",TRUE,FALSE)</formula>
    </cfRule>
    <cfRule type="expression" dxfId="4872" priority="3468">
      <formula>IF($B37="Quoting",TRUE,FALSE)</formula>
    </cfRule>
    <cfRule type="expression" dxfId="4871" priority="3469">
      <formula>IF($B37="Quoting",TRUE,FALSE)</formula>
    </cfRule>
    <cfRule type="expression" dxfId="4870" priority="3470">
      <formula>IF($B37="Quoting",TRUE,FALSE)</formula>
    </cfRule>
    <cfRule type="expression" dxfId="4869" priority="3471">
      <formula>IF($B37="Quoting",TRUE,FALSE)</formula>
    </cfRule>
    <cfRule type="expression" dxfId="4868" priority="3472">
      <formula>IF($B37="Quoting",TRUE,FALSE)</formula>
    </cfRule>
    <cfRule type="expression" dxfId="4867" priority="3473">
      <formula>IF($B37="Quoting",TRUE,FALSE)</formula>
    </cfRule>
    <cfRule type="expression" dxfId="4866" priority="3474">
      <formula>IF($B37="Quoting",TRUE,FALSE)</formula>
    </cfRule>
    <cfRule type="expression" dxfId="4865" priority="3475">
      <formula>IF($B37="Quoting",TRUE,FALSE)</formula>
    </cfRule>
    <cfRule type="expression" dxfId="4864" priority="3476">
      <formula>IF($B37="Quoting",TRUE,FALSE)</formula>
    </cfRule>
    <cfRule type="expression" dxfId="4863" priority="3477">
      <formula>IF($B37="Quoting",TRUE,FALSE)</formula>
    </cfRule>
    <cfRule type="expression" dxfId="4862" priority="3478">
      <formula>IF($B37="Quoting",TRUE,FALSE)</formula>
    </cfRule>
    <cfRule type="expression" dxfId="4861" priority="3479">
      <formula>IF($B37="Quoting",TRUE,FALSE)</formula>
    </cfRule>
    <cfRule type="expression" dxfId="4860" priority="3480">
      <formula>IF($B37="Quoting",TRUE,FALSE)</formula>
    </cfRule>
    <cfRule type="expression" dxfId="4859" priority="3481">
      <formula>IF($B37="Quoting",TRUE,FALSE)</formula>
    </cfRule>
    <cfRule type="expression" dxfId="4858" priority="3482">
      <formula>IF($B37="Quoting",TRUE,FALSE)</formula>
    </cfRule>
    <cfRule type="expression" dxfId="4857" priority="3483">
      <formula>IF($B37="Quoting",TRUE,FALSE)</formula>
    </cfRule>
    <cfRule type="expression" dxfId="4856" priority="3484">
      <formula>IF($B37="Quoting",TRUE,FALSE)</formula>
    </cfRule>
    <cfRule type="expression" dxfId="4855" priority="3485">
      <formula>IF($B37="Quoting",TRUE,FALSE)</formula>
    </cfRule>
    <cfRule type="expression" dxfId="4854" priority="3486">
      <formula>IF($B37="Quoting",TRUE,FALSE)</formula>
    </cfRule>
    <cfRule type="expression" dxfId="4853" priority="3487">
      <formula>IF($B37="Quoting",TRUE,FALSE)</formula>
    </cfRule>
    <cfRule type="expression" dxfId="4852" priority="3488">
      <formula>IF($B37="Quoting",TRUE,FALSE)</formula>
    </cfRule>
    <cfRule type="expression" dxfId="4851" priority="3489">
      <formula>IF($B37="Quoting",TRUE,FALSE)</formula>
    </cfRule>
    <cfRule type="expression" dxfId="4850" priority="3490">
      <formula>IF($B37="Quoting",TRUE,FALSE)</formula>
    </cfRule>
    <cfRule type="expression" dxfId="4849" priority="3491">
      <formula>IF($B37="Quoting",TRUE,FALSE)</formula>
    </cfRule>
    <cfRule type="expression" dxfId="4848" priority="3492">
      <formula>IF($B37="Quoting",TRUE,FALSE)</formula>
    </cfRule>
    <cfRule type="expression" dxfId="4847" priority="3493">
      <formula>IF($B37="Quoting",TRUE,FALSE)</formula>
    </cfRule>
    <cfRule type="expression" dxfId="4846" priority="3494">
      <formula>IF($B37="Quoting",TRUE,FALSE)</formula>
    </cfRule>
    <cfRule type="expression" dxfId="4845" priority="3495">
      <formula>IF($B37="Quoting",TRUE,FALSE)</formula>
    </cfRule>
    <cfRule type="expression" dxfId="4844" priority="3496">
      <formula>IF($B37="Quoting",TRUE,FALSE)</formula>
    </cfRule>
    <cfRule type="expression" dxfId="4843" priority="3497">
      <formula>IF($B37="Quoting",TRUE,FALSE)</formula>
    </cfRule>
    <cfRule type="expression" dxfId="4842" priority="3498">
      <formula>IF($B37="Quoting",TRUE,FALSE)</formula>
    </cfRule>
    <cfRule type="expression" dxfId="4841" priority="3499">
      <formula>IF($B37="Quoting",TRUE,FALSE)</formula>
    </cfRule>
    <cfRule type="expression" dxfId="4840" priority="3500">
      <formula>IF($B37="Quoting",TRUE,FALSE)</formula>
    </cfRule>
    <cfRule type="expression" dxfId="4839" priority="3501">
      <formula>IF($B37="Quoting",TRUE,FALSE)</formula>
    </cfRule>
    <cfRule type="expression" dxfId="4838" priority="3502">
      <formula>IF($B37="Quoting",TRUE,FALSE)</formula>
    </cfRule>
    <cfRule type="expression" dxfId="4837" priority="3503">
      <formula>IF($B37="Quoting",TRUE,FALSE)</formula>
    </cfRule>
    <cfRule type="expression" dxfId="4836" priority="3504">
      <formula>IF($B37="Quoting",TRUE,FALSE)</formula>
    </cfRule>
    <cfRule type="expression" dxfId="4835" priority="3505">
      <formula>IF($B37="Quoting",TRUE,FALSE)</formula>
    </cfRule>
    <cfRule type="expression" dxfId="4834" priority="3506">
      <formula>IF($B37="Quoting",TRUE,FALSE)</formula>
    </cfRule>
    <cfRule type="expression" dxfId="4833" priority="3507">
      <formula>IF($B37="Quoting",TRUE,FALSE)</formula>
    </cfRule>
    <cfRule type="expression" dxfId="4832" priority="3508">
      <formula>IF($B37="Quoting",TRUE,FALSE)</formula>
    </cfRule>
    <cfRule type="expression" dxfId="4831" priority="3509">
      <formula>IF($B37="Quoting",TRUE,FALSE)</formula>
    </cfRule>
    <cfRule type="expression" dxfId="4830" priority="3510">
      <formula>IF($B37="Quoting",TRUE,FALSE)</formula>
    </cfRule>
    <cfRule type="expression" dxfId="4829" priority="3511">
      <formula>IF($B37="Quoting",TRUE,FALSE)</formula>
    </cfRule>
    <cfRule type="expression" dxfId="4828" priority="3512">
      <formula>IF($B37="Quoting",TRUE,FALSE)</formula>
    </cfRule>
    <cfRule type="expression" dxfId="4827" priority="3513">
      <formula>IF($B37="Quoting",TRUE,FALSE)</formula>
    </cfRule>
    <cfRule type="expression" dxfId="4826" priority="3514">
      <formula>IF($B37="Quoting",TRUE,FALSE)</formula>
    </cfRule>
    <cfRule type="expression" dxfId="4825" priority="3515">
      <formula>IF($B37="Quoting",TRUE,FALSE)</formula>
    </cfRule>
    <cfRule type="expression" dxfId="4824" priority="3516">
      <formula>IF($B37="Quoting",TRUE,FALSE)</formula>
    </cfRule>
    <cfRule type="expression" dxfId="4823" priority="3517">
      <formula>IF($B37="Quoting",TRUE,FALSE)</formula>
    </cfRule>
    <cfRule type="expression" dxfId="4822" priority="3518">
      <formula>IF($B37="Quoting",TRUE,FALSE)</formula>
    </cfRule>
    <cfRule type="expression" dxfId="4821" priority="3519">
      <formula>IF($B37="Quoting",TRUE,FALSE)</formula>
    </cfRule>
    <cfRule type="expression" dxfId="4820" priority="3520">
      <formula>IF($B37="Quoting",TRUE,FALSE)</formula>
    </cfRule>
    <cfRule type="expression" dxfId="4819" priority="3521">
      <formula>IF($B37="Quoting",TRUE,FALSE)</formula>
    </cfRule>
    <cfRule type="expression" dxfId="4818" priority="3522">
      <formula>IF($B37="Quoting",TRUE,FALSE)</formula>
    </cfRule>
    <cfRule type="expression" dxfId="4817" priority="3523">
      <formula>IF($B37="Quoting",TRUE,FALSE)</formula>
    </cfRule>
    <cfRule type="expression" dxfId="4816" priority="3524">
      <formula>IF($B37="Quoting",TRUE,FALSE)</formula>
    </cfRule>
    <cfRule type="expression" dxfId="4815" priority="3525">
      <formula>IF($B37="Quoting",TRUE,FALSE)</formula>
    </cfRule>
    <cfRule type="expression" dxfId="4814" priority="3526">
      <formula>IF($B37="Quoting",TRUE,FALSE)</formula>
    </cfRule>
    <cfRule type="expression" dxfId="4813" priority="3527">
      <formula>IF($B37="Quoting",TRUE,FALSE)</formula>
    </cfRule>
    <cfRule type="expression" dxfId="4812" priority="3528">
      <formula>IF($B37="Quoting",TRUE,FALSE)</formula>
    </cfRule>
    <cfRule type="expression" dxfId="4811" priority="3529">
      <formula>IF($B37="Quoting",TRUE,FALSE)</formula>
    </cfRule>
    <cfRule type="expression" dxfId="4810" priority="3530">
      <formula>IF($B37="Quoting",TRUE,FALSE)</formula>
    </cfRule>
    <cfRule type="expression" dxfId="4809" priority="3531">
      <formula>IF($B37="Quoting",TRUE,FALSE)</formula>
    </cfRule>
    <cfRule type="expression" dxfId="4808" priority="3532">
      <formula>IF($B37="Quoting",TRUE,FALSE)</formula>
    </cfRule>
    <cfRule type="expression" dxfId="4807" priority="3533">
      <formula>IF($B37="Quoting",TRUE,FALSE)</formula>
    </cfRule>
    <cfRule type="expression" dxfId="4806" priority="3534">
      <formula>IF($B37="Quoting",TRUE,FALSE)</formula>
    </cfRule>
    <cfRule type="expression" dxfId="4805" priority="3535">
      <formula>IF($B37="Quoting",TRUE,FALSE)</formula>
    </cfRule>
    <cfRule type="expression" dxfId="4804" priority="3536">
      <formula>IF($B37="Quoting",TRUE,FALSE)</formula>
    </cfRule>
    <cfRule type="expression" dxfId="4803" priority="3537">
      <formula>IF($B37="Quoting",TRUE,FALSE)</formula>
    </cfRule>
    <cfRule type="expression" dxfId="4802" priority="3538">
      <formula>IF($B37="Quoting",TRUE,FALSE)</formula>
    </cfRule>
    <cfRule type="expression" dxfId="4801" priority="3539">
      <formula>IF($B37="Quoting",TRUE,FALSE)</formula>
    </cfRule>
    <cfRule type="expression" dxfId="4800" priority="3540">
      <formula>IF($B37="Quoting",TRUE,FALSE)</formula>
    </cfRule>
    <cfRule type="expression" dxfId="4799" priority="3541">
      <formula>IF($B37="Quoting",TRUE,FALSE)</formula>
    </cfRule>
    <cfRule type="expression" dxfId="4798" priority="3542">
      <formula>IF($B37="Quoting",TRUE,FALSE)</formula>
    </cfRule>
    <cfRule type="expression" dxfId="4797" priority="3543">
      <formula>IF($B37="Quoting",TRUE,FALSE)</formula>
    </cfRule>
    <cfRule type="expression" dxfId="4796" priority="3544">
      <formula>IF($B37="Quoting",TRUE,FALSE)</formula>
    </cfRule>
    <cfRule type="expression" dxfId="4795" priority="3545">
      <formula>IF($B37="Quoting",TRUE,FALSE)</formula>
    </cfRule>
    <cfRule type="expression" dxfId="4794" priority="3546">
      <formula>IF($B37="Quoting",TRUE,FALSE)</formula>
    </cfRule>
    <cfRule type="expression" dxfId="4793" priority="3547">
      <formula>IF($B37="Quoting",TRUE,FALSE)</formula>
    </cfRule>
    <cfRule type="expression" dxfId="4792" priority="3548">
      <formula>IF($B37="Quoting",TRUE,FALSE)</formula>
    </cfRule>
    <cfRule type="expression" dxfId="4791" priority="3549">
      <formula>IF($B37="Quoting",TRUE,FALSE)</formula>
    </cfRule>
    <cfRule type="expression" dxfId="4790" priority="3550">
      <formula>IF($B37="Quoting",TRUE,FALSE)</formula>
    </cfRule>
    <cfRule type="expression" dxfId="4789" priority="3551">
      <formula>IF($B37="Quoting",TRUE,FALSE)</formula>
    </cfRule>
    <cfRule type="expression" dxfId="4788" priority="3552">
      <formula>IF($B37="Quoting",TRUE,FALSE)</formula>
    </cfRule>
    <cfRule type="expression" dxfId="4787" priority="3553">
      <formula>IF($B37="Quoting",TRUE,FALSE)</formula>
    </cfRule>
    <cfRule type="expression" dxfId="4786" priority="3554">
      <formula>IF($B37="Quoting",TRUE,FALSE)</formula>
    </cfRule>
    <cfRule type="expression" dxfId="4785" priority="3555">
      <formula>IF($B37="Quoting",TRUE,FALSE)</formula>
    </cfRule>
    <cfRule type="expression" dxfId="4784" priority="3556">
      <formula>IF($B37="Quoting",TRUE,FALSE)</formula>
    </cfRule>
    <cfRule type="expression" dxfId="4783" priority="3557">
      <formula>IF($B37="Quoting",TRUE,FALSE)</formula>
    </cfRule>
    <cfRule type="expression" dxfId="4782" priority="3558">
      <formula>IF($B37="Quoting",TRUE,FALSE)</formula>
    </cfRule>
    <cfRule type="expression" dxfId="4781" priority="3559">
      <formula>IF($B37="Quoting",TRUE,FALSE)</formula>
    </cfRule>
    <cfRule type="expression" dxfId="4780" priority="3560">
      <formula>IF($B37="Quoting",TRUE,FALSE)</formula>
    </cfRule>
    <cfRule type="expression" dxfId="4779" priority="3561">
      <formula>IF($B37="Quoting",TRUE,FALSE)</formula>
    </cfRule>
    <cfRule type="expression" dxfId="4778" priority="3562">
      <formula>IF($B37="Quoting",TRUE,FALSE)</formula>
    </cfRule>
    <cfRule type="expression" dxfId="4777" priority="3563">
      <formula>IF($B37="Quoting",TRUE,FALSE)</formula>
    </cfRule>
    <cfRule type="expression" dxfId="4776" priority="3564">
      <formula>IF($B37="Quoting",TRUE,FALSE)</formula>
    </cfRule>
    <cfRule type="expression" dxfId="4775" priority="3565">
      <formula>IF($B37="Quoting",TRUE,FALSE)</formula>
    </cfRule>
    <cfRule type="expression" dxfId="4774" priority="3566">
      <formula>IF($B37="Quoting",TRUE,FALSE)</formula>
    </cfRule>
    <cfRule type="expression" dxfId="4773" priority="3567">
      <formula>IF($B37="Quoting",TRUE,FALSE)</formula>
    </cfRule>
    <cfRule type="expression" dxfId="4772" priority="3568">
      <formula>IF($B37="Quoting",TRUE,FALSE)</formula>
    </cfRule>
    <cfRule type="expression" dxfId="4771" priority="3569">
      <formula>IF($B37="Quoting",TRUE,FALSE)</formula>
    </cfRule>
    <cfRule type="expression" dxfId="4770" priority="3570">
      <formula>IF($B37="Quoting",TRUE,FALSE)</formula>
    </cfRule>
    <cfRule type="expression" dxfId="4769" priority="3571">
      <formula>IF($B37="Quoting",TRUE,FALSE)</formula>
    </cfRule>
    <cfRule type="expression" dxfId="4768" priority="3572">
      <formula>IF($B37="Quoting",TRUE,FALSE)</formula>
    </cfRule>
    <cfRule type="expression" dxfId="4767" priority="3573">
      <formula>IF($B37="Quoting",TRUE,FALSE)</formula>
    </cfRule>
    <cfRule type="expression" dxfId="4766" priority="3574">
      <formula>IF($B37="Quoting",TRUE,FALSE)</formula>
    </cfRule>
    <cfRule type="expression" dxfId="4765" priority="3575">
      <formula>IF($B37="Quoting",TRUE,FALSE)</formula>
    </cfRule>
    <cfRule type="expression" dxfId="4764" priority="3576">
      <formula>IF($B37="Quoting",TRUE,FALSE)</formula>
    </cfRule>
    <cfRule type="expression" dxfId="4763" priority="3577">
      <formula>IF($B37="Quoting",TRUE,FALSE)</formula>
    </cfRule>
    <cfRule type="expression" dxfId="4762" priority="3578">
      <formula>IF($B37="Quoting",TRUE,FALSE)</formula>
    </cfRule>
    <cfRule type="expression" dxfId="4761" priority="3579">
      <formula>IF($B37="Quoting",TRUE,FALSE)</formula>
    </cfRule>
    <cfRule type="expression" dxfId="4760" priority="3580">
      <formula>IF($B37="Quoting",TRUE,FALSE)</formula>
    </cfRule>
    <cfRule type="expression" dxfId="4759" priority="3581">
      <formula>IF($B37="Quoting",TRUE,FALSE)</formula>
    </cfRule>
    <cfRule type="expression" dxfId="4758" priority="3582">
      <formula>IF($B37="Quoting",TRUE,FALSE)</formula>
    </cfRule>
    <cfRule type="expression" dxfId="4757" priority="3583">
      <formula>IF($B37="Quoting",TRUE,FALSE)</formula>
    </cfRule>
    <cfRule type="expression" dxfId="4756" priority="3584">
      <formula>IF($B37="Quoting",TRUE,FALSE)</formula>
    </cfRule>
    <cfRule type="expression" dxfId="4755" priority="3585">
      <formula>IF($B37="Quoting",TRUE,FALSE)</formula>
    </cfRule>
    <cfRule type="expression" dxfId="4754" priority="3586">
      <formula>IF($B37="Quoting",TRUE,FALSE)</formula>
    </cfRule>
    <cfRule type="expression" dxfId="4753" priority="3587">
      <formula>IF($B37="Quoting",TRUE,FALSE)</formula>
    </cfRule>
    <cfRule type="expression" dxfId="4752" priority="3588">
      <formula>IF($B37="Quoting",TRUE,FALSE)</formula>
    </cfRule>
    <cfRule type="expression" dxfId="4751" priority="3589">
      <formula>IF($B37="Quoting",TRUE,FALSE)</formula>
    </cfRule>
    <cfRule type="expression" dxfId="4750" priority="3590">
      <formula>IF($B37="Quoting",TRUE,FALSE)</formula>
    </cfRule>
    <cfRule type="expression" dxfId="4749" priority="3591">
      <formula>IF($B37="Quoting",TRUE,FALSE)</formula>
    </cfRule>
    <cfRule type="expression" dxfId="4748" priority="3592">
      <formula>IF($B37="Quoting",TRUE,FALSE)</formula>
    </cfRule>
    <cfRule type="expression" dxfId="4747" priority="3593">
      <formula>IF($B37="Quoting",TRUE,FALSE)</formula>
    </cfRule>
    <cfRule type="expression" dxfId="4746" priority="3594">
      <formula>IF($B37="Quoting",TRUE,FALSE)</formula>
    </cfRule>
    <cfRule type="expression" dxfId="4745" priority="3595">
      <formula>IF($B37="Quoting",TRUE,FALSE)</formula>
    </cfRule>
    <cfRule type="expression" dxfId="4744" priority="3596">
      <formula>IF($B37="Quoting",TRUE,FALSE)</formula>
    </cfRule>
    <cfRule type="expression" dxfId="4743" priority="3597">
      <formula>IF($B37="Quoting",TRUE,FALSE)</formula>
    </cfRule>
    <cfRule type="expression" dxfId="4742" priority="3598">
      <formula>IF($B37="Quoting",TRUE,FALSE)</formula>
    </cfRule>
    <cfRule type="expression" dxfId="4741" priority="3599">
      <formula>IF($B37="Quoting",TRUE,FALSE)</formula>
    </cfRule>
    <cfRule type="expression" dxfId="4740" priority="3600">
      <formula>IF($B37="Quoting",TRUE,FALSE)</formula>
    </cfRule>
    <cfRule type="expression" dxfId="4739" priority="3601">
      <formula>IF($B37="Quoting",TRUE,FALSE)</formula>
    </cfRule>
    <cfRule type="expression" dxfId="4738" priority="3602">
      <formula>IF($B37="Quoting",TRUE,FALSE)</formula>
    </cfRule>
    <cfRule type="expression" dxfId="4737" priority="3603">
      <formula>IF($B37="Quoting",TRUE,FALSE)</formula>
    </cfRule>
    <cfRule type="expression" dxfId="4736" priority="3604">
      <formula>IF($B37="Quoting",TRUE,FALSE)</formula>
    </cfRule>
    <cfRule type="expression" dxfId="4735" priority="3605">
      <formula>IF($B37="Quoting",TRUE,FALSE)</formula>
    </cfRule>
    <cfRule type="expression" dxfId="4734" priority="3606">
      <formula>IF($B37="Quoting",TRUE,FALSE)</formula>
    </cfRule>
    <cfRule type="expression" dxfId="4733" priority="3607">
      <formula>IF($B37="Quoting",TRUE,FALSE)</formula>
    </cfRule>
    <cfRule type="expression" dxfId="4732" priority="3608">
      <formula>IF($B37="Quoting",TRUE,FALSE)</formula>
    </cfRule>
    <cfRule type="expression" dxfId="4731" priority="3609">
      <formula>IF($B37="Quoting",TRUE,FALSE)</formula>
    </cfRule>
    <cfRule type="expression" dxfId="4730" priority="3610">
      <formula>IF($B37="Quoting",TRUE,FALSE)</formula>
    </cfRule>
    <cfRule type="expression" dxfId="4729" priority="3611">
      <formula>IF($B37="Quoting",TRUE,FALSE)</formula>
    </cfRule>
    <cfRule type="expression" dxfId="4728" priority="3612">
      <formula>IF($B37="Quoting",TRUE,FALSE)</formula>
    </cfRule>
    <cfRule type="expression" dxfId="4727" priority="3613">
      <formula>IF($B37="Quoting",TRUE,FALSE)</formula>
    </cfRule>
    <cfRule type="expression" dxfId="4726" priority="3614">
      <formula>IF($B37="Quoting",TRUE,FALSE)</formula>
    </cfRule>
    <cfRule type="expression" dxfId="4725" priority="3615">
      <formula>IF($B37="Quoting",TRUE,FALSE)</formula>
    </cfRule>
    <cfRule type="expression" dxfId="4724" priority="3616">
      <formula>IF($B37="Quoting",TRUE,FALSE)</formula>
    </cfRule>
    <cfRule type="expression" dxfId="4723" priority="3617">
      <formula>IF($B37="Quoting",TRUE,FALSE)</formula>
    </cfRule>
    <cfRule type="expression" dxfId="4722" priority="3618">
      <formula>IF($B37="Quoting",TRUE,FALSE)</formula>
    </cfRule>
    <cfRule type="expression" dxfId="4721" priority="3619">
      <formula>IF($B37="Quoting",TRUE,FALSE)</formula>
    </cfRule>
    <cfRule type="expression" dxfId="4720" priority="3620">
      <formula>IF($B37="Quoting",TRUE,FALSE)</formula>
    </cfRule>
    <cfRule type="expression" dxfId="4719" priority="3621">
      <formula>IF($B37="Quoting",TRUE,FALSE)</formula>
    </cfRule>
    <cfRule type="expression" dxfId="4718" priority="3622">
      <formula>IF($B37="Quoting",TRUE,FALSE)</formula>
    </cfRule>
    <cfRule type="expression" dxfId="4717" priority="3623">
      <formula>IF($B37="Quoting",TRUE,FALSE)</formula>
    </cfRule>
    <cfRule type="expression" dxfId="4716" priority="3624">
      <formula>IF($B37="Quoting",TRUE,FALSE)</formula>
    </cfRule>
    <cfRule type="expression" dxfId="4715" priority="3625">
      <formula>IF($B37="Quoting",TRUE,FALSE)</formula>
    </cfRule>
    <cfRule type="expression" dxfId="4714" priority="3626">
      <formula>IF($B37="Quoting",TRUE,FALSE)</formula>
    </cfRule>
    <cfRule type="expression" dxfId="4713" priority="3627">
      <formula>IF($B37="Quoting",TRUE,FALSE)</formula>
    </cfRule>
    <cfRule type="expression" dxfId="4712" priority="3628">
      <formula>IF($B37="Quoting",TRUE,FALSE)</formula>
    </cfRule>
    <cfRule type="expression" dxfId="4711" priority="3629">
      <formula>IF($B37="Quoting",TRUE,FALSE)</formula>
    </cfRule>
    <cfRule type="expression" dxfId="4710" priority="3630">
      <formula>IF($B37="Quoting",TRUE,FALSE)</formula>
    </cfRule>
    <cfRule type="expression" dxfId="4709" priority="3631">
      <formula>IF($B37="Quoting",TRUE,FALSE)</formula>
    </cfRule>
    <cfRule type="expression" dxfId="4708" priority="3632">
      <formula>IF($B37="Quoting",TRUE,FALSE)</formula>
    </cfRule>
    <cfRule type="expression" dxfId="4707" priority="3633">
      <formula>IF($B37="Quoting",TRUE,FALSE)</formula>
    </cfRule>
    <cfRule type="expression" dxfId="4706" priority="3634">
      <formula>IF($B37="Quoting",TRUE,FALSE)</formula>
    </cfRule>
    <cfRule type="expression" dxfId="4705" priority="3635">
      <formula>IF($B37="Quoting",TRUE,FALSE)</formula>
    </cfRule>
    <cfRule type="expression" dxfId="4704" priority="3636">
      <formula>IF($B37="Quoting",TRUE,FALSE)</formula>
    </cfRule>
    <cfRule type="expression" dxfId="4703" priority="3637">
      <formula>IF($B37="Quoting",TRUE,FALSE)</formula>
    </cfRule>
    <cfRule type="expression" dxfId="4702" priority="3638">
      <formula>IF($B37="Quoting",TRUE,FALSE)</formula>
    </cfRule>
    <cfRule type="expression" dxfId="4701" priority="3639">
      <formula>IF($B37="Quoting",TRUE,FALSE)</formula>
    </cfRule>
    <cfRule type="expression" dxfId="4700" priority="3640">
      <formula>IF($B37="Quoting",TRUE,FALSE)</formula>
    </cfRule>
    <cfRule type="expression" dxfId="4699" priority="3641">
      <formula>IF($B37="Quoting",TRUE,FALSE)</formula>
    </cfRule>
    <cfRule type="expression" dxfId="4698" priority="3642">
      <formula>IF($B37="Quoting",TRUE,FALSE)</formula>
    </cfRule>
    <cfRule type="expression" dxfId="4697" priority="3643">
      <formula>IF($B37="Quoting",TRUE,FALSE)</formula>
    </cfRule>
    <cfRule type="expression" dxfId="4696" priority="3644">
      <formula>IF($B37="Quoting",TRUE,FALSE)</formula>
    </cfRule>
    <cfRule type="expression" dxfId="4695" priority="3645">
      <formula>IF($B37="Quoting",TRUE,FALSE)</formula>
    </cfRule>
    <cfRule type="expression" dxfId="4694" priority="3646">
      <formula>IF($B37="Quoting",TRUE,FALSE)</formula>
    </cfRule>
    <cfRule type="expression" dxfId="4693" priority="3647">
      <formula>IF($B37="Quoting",TRUE,FALSE)</formula>
    </cfRule>
    <cfRule type="expression" dxfId="4692" priority="3648">
      <formula>IF($B37="Quoting",TRUE,FALSE)</formula>
    </cfRule>
    <cfRule type="expression" dxfId="4691" priority="3649">
      <formula>IF($B37="Quoting",TRUE,FALSE)</formula>
    </cfRule>
    <cfRule type="expression" dxfId="4690" priority="3650">
      <formula>IF($B37="Quoting",TRUE,FALSE)</formula>
    </cfRule>
    <cfRule type="expression" dxfId="4689" priority="3651">
      <formula>IF($B37="Quoting",TRUE,FALSE)</formula>
    </cfRule>
    <cfRule type="expression" dxfId="4688" priority="3652">
      <formula>IF($B37="Quoting",TRUE,FALSE)</formula>
    </cfRule>
    <cfRule type="expression" dxfId="4687" priority="3653">
      <formula>IF($B37="Quoting",TRUE,FALSE)</formula>
    </cfRule>
    <cfRule type="expression" dxfId="4686" priority="3654">
      <formula>IF($B37="Quoting",TRUE,FALSE)</formula>
    </cfRule>
    <cfRule type="expression" dxfId="4685" priority="3655">
      <formula>IF($B37="Quoting",TRUE,FALSE)</formula>
    </cfRule>
    <cfRule type="expression" dxfId="4684" priority="3656">
      <formula>IF($B37="Quoting",TRUE,FALSE)</formula>
    </cfRule>
    <cfRule type="expression" dxfId="4683" priority="3657">
      <formula>IF($B37="Quoting",TRUE,FALSE)</formula>
    </cfRule>
    <cfRule type="expression" dxfId="4682" priority="3658">
      <formula>IF($B37="Quoting",TRUE,FALSE)</formula>
    </cfRule>
    <cfRule type="expression" dxfId="4681" priority="3659">
      <formula>IF($B37="Quoting",TRUE,FALSE)</formula>
    </cfRule>
    <cfRule type="expression" dxfId="4680" priority="3660">
      <formula>IF($B37="Quoting",TRUE,FALSE)</formula>
    </cfRule>
    <cfRule type="expression" dxfId="4679" priority="3661">
      <formula>IF($B37="Quoting",TRUE,FALSE)</formula>
    </cfRule>
    <cfRule type="expression" dxfId="4678" priority="3662">
      <formula>IF($B37="Quoting",TRUE,FALSE)</formula>
    </cfRule>
    <cfRule type="expression" dxfId="4677" priority="3663">
      <formula>IF($B37="Quoting",TRUE,FALSE)</formula>
    </cfRule>
    <cfRule type="expression" dxfId="4676" priority="3664">
      <formula>IF($B37="Quoting",TRUE,FALSE)</formula>
    </cfRule>
    <cfRule type="expression" dxfId="4675" priority="3665">
      <formula>IF($B37="Quoting",TRUE,FALSE)</formula>
    </cfRule>
    <cfRule type="expression" dxfId="4674" priority="3666">
      <formula>IF($B37="Quoting",TRUE,FALSE)</formula>
    </cfRule>
    <cfRule type="expression" dxfId="4673" priority="3667">
      <formula>IF($B37="Quoting",TRUE,FALSE)</formula>
    </cfRule>
    <cfRule type="expression" dxfId="4672" priority="3668">
      <formula>IF($B37="Quoting",TRUE,FALSE)</formula>
    </cfRule>
    <cfRule type="expression" dxfId="4671" priority="3669">
      <formula>IF($B37="Quoting",TRUE,FALSE)</formula>
    </cfRule>
    <cfRule type="expression" dxfId="4670" priority="3670">
      <formula>IF($B37="Quoting",TRUE,FALSE)</formula>
    </cfRule>
    <cfRule type="expression" dxfId="4669" priority="3671">
      <formula>IF($B37="Quoting",TRUE,FALSE)</formula>
    </cfRule>
    <cfRule type="expression" dxfId="4668" priority="3672">
      <formula>IF($B37="Quoting",TRUE,FALSE)</formula>
    </cfRule>
    <cfRule type="expression" dxfId="4667" priority="3673">
      <formula>IF($B37="Quoting",TRUE,FALSE)</formula>
    </cfRule>
    <cfRule type="expression" dxfId="4666" priority="3674">
      <formula>IF($B37="Quoting",TRUE,FALSE)</formula>
    </cfRule>
    <cfRule type="expression" dxfId="4665" priority="3675">
      <formula>IF($B37="Quoting",TRUE,FALSE)</formula>
    </cfRule>
    <cfRule type="expression" dxfId="4664" priority="3676">
      <formula>IF($B37="Quoting",TRUE,FALSE)</formula>
    </cfRule>
    <cfRule type="expression" dxfId="4663" priority="3677">
      <formula>IF($B37="Quoting",TRUE,FALSE)</formula>
    </cfRule>
    <cfRule type="expression" dxfId="4662" priority="3678">
      <formula>IF($B37="Quoting",TRUE,FALSE)</formula>
    </cfRule>
    <cfRule type="expression" dxfId="4661" priority="3679">
      <formula>IF($B37="Quoting",TRUE,FALSE)</formula>
    </cfRule>
    <cfRule type="expression" dxfId="4660" priority="3680">
      <formula>IF($B37="Quoting",TRUE,FALSE)</formula>
    </cfRule>
    <cfRule type="expression" dxfId="4659" priority="3681">
      <formula>IF($B37="Quoting",TRUE,FALSE)</formula>
    </cfRule>
    <cfRule type="expression" dxfId="4658" priority="3682">
      <formula>IF($B37="Quoting",TRUE,FALSE)</formula>
    </cfRule>
    <cfRule type="expression" dxfId="4657" priority="3683">
      <formula>IF($B37="Quoting",TRUE,FALSE)</formula>
    </cfRule>
    <cfRule type="expression" dxfId="4656" priority="3684">
      <formula>IF($B37="Quoting",TRUE,FALSE)</formula>
    </cfRule>
    <cfRule type="expression" dxfId="4655" priority="3685">
      <formula>IF($B37="Quoting",TRUE,FALSE)</formula>
    </cfRule>
    <cfRule type="expression" dxfId="4654" priority="3686">
      <formula>IF($B37="Quoting",TRUE,FALSE)</formula>
    </cfRule>
    <cfRule type="expression" dxfId="4653" priority="3687">
      <formula>IF($B37="Quoting",TRUE,FALSE)</formula>
    </cfRule>
    <cfRule type="expression" dxfId="4652" priority="3688">
      <formula>IF($B37="Quoting",TRUE,FALSE)</formula>
    </cfRule>
    <cfRule type="expression" dxfId="4651" priority="3689">
      <formula>IF($B37="Quoting",TRUE,FALSE)</formula>
    </cfRule>
    <cfRule type="expression" dxfId="4650" priority="3690">
      <formula>IF($B37="Quoting",TRUE,FALSE)</formula>
    </cfRule>
    <cfRule type="expression" dxfId="4649" priority="3691">
      <formula>IF($B37="Quoting",TRUE,FALSE)</formula>
    </cfRule>
    <cfRule type="expression" dxfId="4648" priority="3692">
      <formula>IF($B37="Quoting",TRUE,FALSE)</formula>
    </cfRule>
    <cfRule type="expression" dxfId="4647" priority="3693">
      <formula>IF($B37="Quoting",TRUE,FALSE)</formula>
    </cfRule>
    <cfRule type="expression" dxfId="4646" priority="3694">
      <formula>IF($B37="Quoting",TRUE,FALSE)</formula>
    </cfRule>
    <cfRule type="expression" dxfId="4645" priority="3695">
      <formula>IF($B37="Quoting",TRUE,FALSE)</formula>
    </cfRule>
    <cfRule type="expression" dxfId="4644" priority="3696">
      <formula>IF($B37="Quoting",TRUE,FALSE)</formula>
    </cfRule>
    <cfRule type="expression" dxfId="4643" priority="3697">
      <formula>IF($B37="Quoting",TRUE,FALSE)</formula>
    </cfRule>
    <cfRule type="expression" dxfId="4642" priority="3698">
      <formula>IF($B37="Quoting",TRUE,FALSE)</formula>
    </cfRule>
    <cfRule type="expression" dxfId="4641" priority="3699">
      <formula>IF($B37="Quoting",TRUE,FALSE)</formula>
    </cfRule>
    <cfRule type="expression" dxfId="4640" priority="3700">
      <formula>IF($B37="Quoting",TRUE,FALSE)</formula>
    </cfRule>
    <cfRule type="expression" dxfId="4639" priority="3701">
      <formula>IF($B37="Quoting",TRUE,FALSE)</formula>
    </cfRule>
    <cfRule type="expression" dxfId="4638" priority="3702">
      <formula>IF($B37="Quoting",TRUE,FALSE)</formula>
    </cfRule>
    <cfRule type="expression" dxfId="4637" priority="3703">
      <formula>IF($B37="Quoting",TRUE,FALSE)</formula>
    </cfRule>
    <cfRule type="expression" dxfId="4636" priority="3704">
      <formula>IF($B37="Quoting",TRUE,FALSE)</formula>
    </cfRule>
    <cfRule type="expression" dxfId="4635" priority="3705">
      <formula>IF($B37="Quoting",TRUE,FALSE)</formula>
    </cfRule>
    <cfRule type="expression" dxfId="4634" priority="3706">
      <formula>IF($B37="Quoting",TRUE,FALSE)</formula>
    </cfRule>
    <cfRule type="expression" dxfId="4633" priority="3707">
      <formula>IF($B37="Quoting",TRUE,FALSE)</formula>
    </cfRule>
    <cfRule type="expression" dxfId="4632" priority="3708">
      <formula>IF($B37="Quoting",TRUE,FALSE)</formula>
    </cfRule>
    <cfRule type="expression" dxfId="4631" priority="3709">
      <formula>IF($B37="Quoting",TRUE,FALSE)</formula>
    </cfRule>
    <cfRule type="expression" dxfId="4630" priority="3710">
      <formula>IF($B37="Quoting",TRUE,FALSE)</formula>
    </cfRule>
    <cfRule type="expression" dxfId="4629" priority="3711">
      <formula>IF($B37="Quoting",TRUE,FALSE)</formula>
    </cfRule>
    <cfRule type="expression" dxfId="4628" priority="3712">
      <formula>IF($B37="Quoting",TRUE,FALSE)</formula>
    </cfRule>
    <cfRule type="expression" dxfId="4627" priority="3713">
      <formula>IF($B37="Quoting",TRUE,FALSE)</formula>
    </cfRule>
    <cfRule type="expression" dxfId="4626" priority="3714">
      <formula>IF($B37="Quoting",TRUE,FALSE)</formula>
    </cfRule>
    <cfRule type="expression" dxfId="4625" priority="3715">
      <formula>IF($B37="Quoting",TRUE,FALSE)</formula>
    </cfRule>
    <cfRule type="expression" dxfId="4624" priority="3716">
      <formula>IF($B37="Quoting",TRUE,FALSE)</formula>
    </cfRule>
    <cfRule type="expression" dxfId="4623" priority="3717">
      <formula>IF($B37="Quoting",TRUE,FALSE)</formula>
    </cfRule>
    <cfRule type="expression" dxfId="4622" priority="3718">
      <formula>IF($B37="Quoting",TRUE,FALSE)</formula>
    </cfRule>
    <cfRule type="expression" dxfId="4621" priority="3719">
      <formula>IF($B37="Quoting",TRUE,FALSE)</formula>
    </cfRule>
    <cfRule type="expression" dxfId="4620" priority="3720">
      <formula>IF($B37="Quoting",TRUE,FALSE)</formula>
    </cfRule>
    <cfRule type="expression" dxfId="4619" priority="3721">
      <formula>IF($B37="Quoting",TRUE,FALSE)</formula>
    </cfRule>
    <cfRule type="expression" dxfId="4618" priority="3722">
      <formula>IF($B37="Quoting",TRUE,FALSE)</formula>
    </cfRule>
    <cfRule type="expression" dxfId="4617" priority="3723">
      <formula>IF($B37="Quoting",TRUE,FALSE)</formula>
    </cfRule>
    <cfRule type="expression" dxfId="4616" priority="3724">
      <formula>IF($B37="Quoting",TRUE,FALSE)</formula>
    </cfRule>
    <cfRule type="expression" dxfId="4615" priority="3725">
      <formula>IF($B37="Quoting",TRUE,FALSE)</formula>
    </cfRule>
    <cfRule type="expression" dxfId="4614" priority="3726">
      <formula>IF($B37="Quoting",TRUE,FALSE)</formula>
    </cfRule>
    <cfRule type="expression" dxfId="4613" priority="3727">
      <formula>IF($B37="Quoting",TRUE,FALSE)</formula>
    </cfRule>
    <cfRule type="expression" dxfId="4612" priority="3728">
      <formula>IF($B37="Quoting",TRUE,FALSE)</formula>
    </cfRule>
    <cfRule type="expression" dxfId="4611" priority="3729">
      <formula>IF($B37="Quoting",TRUE,FALSE)</formula>
    </cfRule>
    <cfRule type="expression" dxfId="4610" priority="3730">
      <formula>IF($B37="Quoting",TRUE,FALSE)</formula>
    </cfRule>
    <cfRule type="expression" dxfId="4609" priority="3731">
      <formula>IF($B37="Quoting",TRUE,FALSE)</formula>
    </cfRule>
    <cfRule type="expression" dxfId="4608" priority="3732">
      <formula>IF($B37="Quoting",TRUE,FALSE)</formula>
    </cfRule>
    <cfRule type="expression" dxfId="4607" priority="3733">
      <formula>IF($B37="Quoting",TRUE,FALSE)</formula>
    </cfRule>
    <cfRule type="expression" dxfId="4606" priority="3734">
      <formula>IF($B37="Quoting",TRUE,FALSE)</formula>
    </cfRule>
    <cfRule type="expression" dxfId="4605" priority="3735">
      <formula>IF($B37="Quoting",TRUE,FALSE)</formula>
    </cfRule>
    <cfRule type="expression" dxfId="4604" priority="3736">
      <formula>IF($B37="Quoting",TRUE,FALSE)</formula>
    </cfRule>
    <cfRule type="expression" dxfId="4603" priority="3737">
      <formula>IF($B37="Quoting",TRUE,FALSE)</formula>
    </cfRule>
    <cfRule type="expression" dxfId="4602" priority="3738">
      <formula>IF($B37="Quoting",TRUE,FALSE)</formula>
    </cfRule>
    <cfRule type="expression" dxfId="4601" priority="3739">
      <formula>IF($B37="Quoting",TRUE,FALSE)</formula>
    </cfRule>
    <cfRule type="expression" dxfId="4600" priority="3740">
      <formula>IF($B37="Quoting",TRUE,FALSE)</formula>
    </cfRule>
    <cfRule type="expression" dxfId="4599" priority="3741">
      <formula>IF($B37="Quoting",TRUE,FALSE)</formula>
    </cfRule>
    <cfRule type="expression" dxfId="4598" priority="3742">
      <formula>IF($B37="Quoting",TRUE,FALSE)</formula>
    </cfRule>
    <cfRule type="expression" dxfId="4597" priority="3743">
      <formula>IF($B37="Quoting",TRUE,FALSE)</formula>
    </cfRule>
    <cfRule type="expression" dxfId="4596" priority="3744">
      <formula>IF($B37="Quoting",TRUE,FALSE)</formula>
    </cfRule>
    <cfRule type="expression" dxfId="4595" priority="3745">
      <formula>IF($B37="Quoting",TRUE,FALSE)</formula>
    </cfRule>
    <cfRule type="expression" dxfId="4594" priority="3746">
      <formula>IF($B37="Quoting",TRUE,FALSE)</formula>
    </cfRule>
    <cfRule type="expression" dxfId="4593" priority="3747">
      <formula>IF($B37="Quoting",TRUE,FALSE)</formula>
    </cfRule>
    <cfRule type="expression" dxfId="4592" priority="3748">
      <formula>IF($B37="Quoting",TRUE,FALSE)</formula>
    </cfRule>
    <cfRule type="expression" dxfId="4591" priority="3749">
      <formula>IF($B37="Quoting",TRUE,FALSE)</formula>
    </cfRule>
    <cfRule type="expression" dxfId="4590" priority="3750">
      <formula>IF($B37="Quoting",TRUE,FALSE)</formula>
    </cfRule>
    <cfRule type="expression" dxfId="4589" priority="3751">
      <formula>IF($B37="Quoting",TRUE,FALSE)</formula>
    </cfRule>
    <cfRule type="expression" dxfId="4588" priority="3752">
      <formula>IF($B37="Quoting",TRUE,FALSE)</formula>
    </cfRule>
    <cfRule type="expression" dxfId="4587" priority="3753">
      <formula>IF($B37="Quoting",TRUE,FALSE)</formula>
    </cfRule>
    <cfRule type="expression" dxfId="4586" priority="3754">
      <formula>IF($B37="Quoting",TRUE,FALSE)</formula>
    </cfRule>
    <cfRule type="expression" dxfId="4585" priority="3755">
      <formula>IF($B37="Quoting",TRUE,FALSE)</formula>
    </cfRule>
    <cfRule type="expression" dxfId="4584" priority="3756">
      <formula>IF($B37="Quoting",TRUE,FALSE)</formula>
    </cfRule>
    <cfRule type="expression" dxfId="4583" priority="3757">
      <formula>IF($B37="Quoting",TRUE,FALSE)</formula>
    </cfRule>
    <cfRule type="expression" dxfId="4582" priority="3758">
      <formula>IF($B37="Quoting",TRUE,FALSE)</formula>
    </cfRule>
    <cfRule type="expression" dxfId="4581" priority="3759">
      <formula>IF($B37="Quoting",TRUE,FALSE)</formula>
    </cfRule>
    <cfRule type="expression" dxfId="4580" priority="3760">
      <formula>IF($B37="Quoting",TRUE,FALSE)</formula>
    </cfRule>
    <cfRule type="expression" dxfId="4579" priority="3761">
      <formula>IF($B37="Quoting",TRUE,FALSE)</formula>
    </cfRule>
    <cfRule type="expression" dxfId="4578" priority="3762">
      <formula>IF($B37="Quoting",TRUE,FALSE)</formula>
    </cfRule>
    <cfRule type="expression" dxfId="4577" priority="3763">
      <formula>IF($B37="Quoting",TRUE,FALSE)</formula>
    </cfRule>
    <cfRule type="expression" dxfId="4576" priority="3764">
      <formula>IF($B37="Quoting",TRUE,FALSE)</formula>
    </cfRule>
    <cfRule type="expression" dxfId="4575" priority="3765">
      <formula>IF($B37="Quoting",TRUE,FALSE)</formula>
    </cfRule>
    <cfRule type="expression" dxfId="4574" priority="3766">
      <formula>IF($B37="Quoting",TRUE,FALSE)</formula>
    </cfRule>
    <cfRule type="expression" dxfId="4573" priority="3767">
      <formula>IF($B37="Quoting",TRUE,FALSE)</formula>
    </cfRule>
    <cfRule type="expression" dxfId="4572" priority="3768">
      <formula>IF($B37="Quoting",TRUE,FALSE)</formula>
    </cfRule>
    <cfRule type="expression" dxfId="4571" priority="3769">
      <formula>IF($B37="Quoting",TRUE,FALSE)</formula>
    </cfRule>
    <cfRule type="expression" dxfId="4570" priority="3770">
      <formula>IF($B37="Quoting",TRUE,FALSE)</formula>
    </cfRule>
    <cfRule type="expression" dxfId="4569" priority="3771">
      <formula>IF($B37="Quoting",TRUE,FALSE)</formula>
    </cfRule>
    <cfRule type="expression" dxfId="4568" priority="3772">
      <formula>IF($B37="Quoting",TRUE,FALSE)</formula>
    </cfRule>
    <cfRule type="expression" dxfId="4567" priority="3773">
      <formula>IF($B37="Quoting",TRUE,FALSE)</formula>
    </cfRule>
    <cfRule type="expression" dxfId="4566" priority="3774">
      <formula>IF($B37="Quoting",TRUE,FALSE)</formula>
    </cfRule>
    <cfRule type="expression" dxfId="4565" priority="3775">
      <formula>IF($B37="Quoting",TRUE,FALSE)</formula>
    </cfRule>
    <cfRule type="expression" dxfId="4564" priority="3776">
      <formula>IF($B37="Quoting",TRUE,FALSE)</formula>
    </cfRule>
    <cfRule type="expression" dxfId="4563" priority="3777">
      <formula>IF($B37="Quoting",TRUE,FALSE)</formula>
    </cfRule>
    <cfRule type="expression" dxfId="4562" priority="3778">
      <formula>IF($B37="Quoting",TRUE,FALSE)</formula>
    </cfRule>
    <cfRule type="expression" dxfId="4561" priority="3779">
      <formula>IF($B37="Quoting",TRUE,FALSE)</formula>
    </cfRule>
    <cfRule type="expression" dxfId="4560" priority="3780">
      <formula>IF($B37="Quoting",TRUE,FALSE)</formula>
    </cfRule>
    <cfRule type="expression" dxfId="4559" priority="3781">
      <formula>IF($B37="Quoting",TRUE,FALSE)</formula>
    </cfRule>
    <cfRule type="expression" dxfId="4558" priority="3782">
      <formula>IF($B37="Quoting",TRUE,FALSE)</formula>
    </cfRule>
    <cfRule type="expression" dxfId="4557" priority="3783">
      <formula>IF($B37="Quoting",TRUE,FALSE)</formula>
    </cfRule>
    <cfRule type="expression" dxfId="4556" priority="3784">
      <formula>IF($B37="Quoting",TRUE,FALSE)</formula>
    </cfRule>
    <cfRule type="expression" dxfId="4555" priority="3785">
      <formula>IF($B37="Quoting",TRUE,FALSE)</formula>
    </cfRule>
    <cfRule type="expression" dxfId="4554" priority="3786">
      <formula>IF($B37="Quoting",TRUE,FALSE)</formula>
    </cfRule>
    <cfRule type="expression" dxfId="4553" priority="3787">
      <formula>IF($B37="Quoting",TRUE,FALSE)</formula>
    </cfRule>
    <cfRule type="expression" dxfId="4552" priority="3788">
      <formula>IF($B37="Quoting",TRUE,FALSE)</formula>
    </cfRule>
    <cfRule type="expression" dxfId="4551" priority="3789">
      <formula>IF($B37="Quoting",TRUE,FALSE)</formula>
    </cfRule>
    <cfRule type="expression" dxfId="4550" priority="3790">
      <formula>IF($B37="Quoting",TRUE,FALSE)</formula>
    </cfRule>
    <cfRule type="expression" dxfId="4549" priority="3791">
      <formula>IF($B37="Quoting",TRUE,FALSE)</formula>
    </cfRule>
    <cfRule type="expression" dxfId="4548" priority="3792">
      <formula>IF($B37="Quoting",TRUE,FALSE)</formula>
    </cfRule>
    <cfRule type="expression" dxfId="4547" priority="3793">
      <formula>IF($B37="Quoting",TRUE,FALSE)</formula>
    </cfRule>
    <cfRule type="expression" dxfId="4546" priority="3794">
      <formula>IF($B37="Quoting",TRUE,FALSE)</formula>
    </cfRule>
    <cfRule type="expression" dxfId="4545" priority="3795">
      <formula>IF($B37="Quoting",TRUE,FALSE)</formula>
    </cfRule>
    <cfRule type="expression" dxfId="4544" priority="3796">
      <formula>IF($B37="Quoting",TRUE,FALSE)</formula>
    </cfRule>
    <cfRule type="expression" dxfId="4543" priority="3797">
      <formula>IF($B37="Quoting",TRUE,FALSE)</formula>
    </cfRule>
    <cfRule type="expression" dxfId="4542" priority="3798">
      <formula>IF($B37="Quoting",TRUE,FALSE)</formula>
    </cfRule>
    <cfRule type="expression" dxfId="4541" priority="3799">
      <formula>IF($B37="Quoting",TRUE,FALSE)</formula>
    </cfRule>
    <cfRule type="expression" dxfId="4540" priority="3800">
      <formula>IF($B37="Quoting",TRUE,FALSE)</formula>
    </cfRule>
    <cfRule type="expression" dxfId="4539" priority="3801">
      <formula>IF($B37="Quoting",TRUE,FALSE)</formula>
    </cfRule>
    <cfRule type="expression" dxfId="4538" priority="3802">
      <formula>IF($B37="Quoting",TRUE,FALSE)</formula>
    </cfRule>
    <cfRule type="expression" dxfId="4537" priority="3803">
      <formula>IF($B37="Quoting",TRUE,FALSE)</formula>
    </cfRule>
    <cfRule type="expression" dxfId="4536" priority="3804">
      <formula>IF($B37="Quoting",TRUE,FALSE)</formula>
    </cfRule>
    <cfRule type="expression" dxfId="4535" priority="3805">
      <formula>IF($B37="Quoting",TRUE,FALSE)</formula>
    </cfRule>
    <cfRule type="expression" dxfId="4534" priority="3806">
      <formula>IF($B37="Quoting",TRUE,FALSE)</formula>
    </cfRule>
    <cfRule type="expression" dxfId="4533" priority="3807">
      <formula>IF($B37="Quoting",TRUE,FALSE)</formula>
    </cfRule>
    <cfRule type="expression" dxfId="4532" priority="3808">
      <formula>IF($B37="Quoting",TRUE,FALSE)</formula>
    </cfRule>
    <cfRule type="expression" dxfId="4531" priority="3809">
      <formula>IF($B37="Quoting",TRUE,FALSE)</formula>
    </cfRule>
    <cfRule type="expression" dxfId="4530" priority="3810">
      <formula>IF($B37="Quoting",TRUE,FALSE)</formula>
    </cfRule>
    <cfRule type="expression" dxfId="4529" priority="3811">
      <formula>IF($B37="Quoting",TRUE,FALSE)</formula>
    </cfRule>
    <cfRule type="expression" dxfId="4528" priority="3812">
      <formula>IF($B37="Quoting",TRUE,FALSE)</formula>
    </cfRule>
    <cfRule type="expression" dxfId="4527" priority="3813">
      <formula>IF($B37="Quoting",TRUE,FALSE)</formula>
    </cfRule>
    <cfRule type="expression" dxfId="4526" priority="3814">
      <formula>IF($B37="Quoting",TRUE,FALSE)</formula>
    </cfRule>
    <cfRule type="expression" dxfId="4525" priority="3815">
      <formula>IF($B37="Quoting",TRUE,FALSE)</formula>
    </cfRule>
    <cfRule type="expression" dxfId="4524" priority="3816">
      <formula>IF($B37="Quoting",TRUE,FALSE)</formula>
    </cfRule>
    <cfRule type="expression" dxfId="4523" priority="3817">
      <formula>IF($B37="Quoting",TRUE,FALSE)</formula>
    </cfRule>
    <cfRule type="expression" dxfId="4522" priority="3818">
      <formula>IF($B37="Quoting",TRUE,FALSE)</formula>
    </cfRule>
    <cfRule type="expression" dxfId="4521" priority="3819">
      <formula>IF($B37="Quoting",TRUE,FALSE)</formula>
    </cfRule>
    <cfRule type="expression" dxfId="4520" priority="3820">
      <formula>IF($B37="Quoting",TRUE,FALSE)</formula>
    </cfRule>
    <cfRule type="expression" dxfId="4519" priority="3821">
      <formula>IF($B37="Quoting",TRUE,FALSE)</formula>
    </cfRule>
    <cfRule type="expression" dxfId="4518" priority="3822">
      <formula>IF($B37="Quoting",TRUE,FALSE)</formula>
    </cfRule>
    <cfRule type="expression" dxfId="4517" priority="3823">
      <formula>IF($B37="Quoting",TRUE,FALSE)</formula>
    </cfRule>
    <cfRule type="expression" dxfId="4516" priority="3824">
      <formula>IF($B37="Quoting",TRUE,FALSE)</formula>
    </cfRule>
    <cfRule type="expression" dxfId="4515" priority="3825">
      <formula>IF($B37="Quoting",TRUE,FALSE)</formula>
    </cfRule>
    <cfRule type="expression" dxfId="4514" priority="3826">
      <formula>IF($B37="Quoting",TRUE,FALSE)</formula>
    </cfRule>
    <cfRule type="expression" dxfId="4513" priority="3827">
      <formula>IF($B37="Quoting",TRUE,FALSE)</formula>
    </cfRule>
    <cfRule type="expression" dxfId="4512" priority="3828">
      <formula>IF($B37="Quoting",TRUE,FALSE)</formula>
    </cfRule>
    <cfRule type="expression" dxfId="4511" priority="3829">
      <formula>IF($B37="Quoting",TRUE,FALSE)</formula>
    </cfRule>
    <cfRule type="expression" dxfId="4510" priority="3830">
      <formula>IF($B37="Quoting",TRUE,FALSE)</formula>
    </cfRule>
    <cfRule type="expression" dxfId="4509" priority="3831">
      <formula>IF($B37="Quoting",TRUE,FALSE)</formula>
    </cfRule>
    <cfRule type="expression" dxfId="4508" priority="3832">
      <formula>IF($B37="Quoting",TRUE,FALSE)</formula>
    </cfRule>
    <cfRule type="expression" dxfId="4507" priority="3833">
      <formula>IF($B37="Quoting",TRUE,FALSE)</formula>
    </cfRule>
    <cfRule type="expression" dxfId="4506" priority="3834">
      <formula>IF($B37="Quoting",TRUE,FALSE)</formula>
    </cfRule>
    <cfRule type="expression" dxfId="4505" priority="3835">
      <formula>IF($B37="Quoting",TRUE,FALSE)</formula>
    </cfRule>
    <cfRule type="expression" dxfId="4504" priority="3836">
      <formula>IF($B37="Quoting",TRUE,FALSE)</formula>
    </cfRule>
    <cfRule type="expression" dxfId="4503" priority="3837">
      <formula>IF($B37="Quoting",TRUE,FALSE)</formula>
    </cfRule>
    <cfRule type="expression" dxfId="4502" priority="3838">
      <formula>IF($B37="Quoting",TRUE,FALSE)</formula>
    </cfRule>
    <cfRule type="expression" dxfId="4501" priority="3839">
      <formula>IF($B37="Quoting",TRUE,FALSE)</formula>
    </cfRule>
    <cfRule type="expression" dxfId="4500" priority="3840">
      <formula>IF($B37="Quoting",TRUE,FALSE)</formula>
    </cfRule>
    <cfRule type="expression" dxfId="4499" priority="3841">
      <formula>IF($B37="Quoting",TRUE,FALSE)</formula>
    </cfRule>
    <cfRule type="expression" dxfId="4498" priority="3842">
      <formula>IF($B37="Quoting",TRUE,FALSE)</formula>
    </cfRule>
    <cfRule type="expression" dxfId="4497" priority="3843">
      <formula>IF($B37="Quoting",TRUE,FALSE)</formula>
    </cfRule>
    <cfRule type="expression" dxfId="4496" priority="3844">
      <formula>IF($B37="Quoting",TRUE,FALSE)</formula>
    </cfRule>
    <cfRule type="expression" dxfId="4495" priority="3845">
      <formula>IF($B37="Quoting",TRUE,FALSE)</formula>
    </cfRule>
    <cfRule type="expression" dxfId="4494" priority="3846">
      <formula>IF($B37="Quoting",TRUE,FALSE)</formula>
    </cfRule>
    <cfRule type="expression" dxfId="4493" priority="3847">
      <formula>IF($B37="Quoting",TRUE,FALSE)</formula>
    </cfRule>
    <cfRule type="expression" dxfId="4492" priority="3848">
      <formula>IF($B37="Quoting",TRUE,FALSE)</formula>
    </cfRule>
    <cfRule type="expression" dxfId="4491" priority="3849">
      <formula>IF($B37="Quoting",TRUE,FALSE)</formula>
    </cfRule>
    <cfRule type="expression" dxfId="4490" priority="3850">
      <formula>IF($B37="Quoting",TRUE,FALSE)</formula>
    </cfRule>
    <cfRule type="expression" dxfId="4489" priority="3851">
      <formula>IF($B37="Quoting",TRUE,FALSE)</formula>
    </cfRule>
    <cfRule type="expression" dxfId="4488" priority="3852">
      <formula>IF($B37="Quoting",TRUE,FALSE)</formula>
    </cfRule>
    <cfRule type="expression" dxfId="4487" priority="3853">
      <formula>IF($B37="Quoting",TRUE,FALSE)</formula>
    </cfRule>
    <cfRule type="expression" dxfId="4486" priority="3854">
      <formula>IF($B37="Quoting",TRUE,FALSE)</formula>
    </cfRule>
    <cfRule type="expression" dxfId="4485" priority="3855">
      <formula>IF($B37="Quoting",TRUE,FALSE)</formula>
    </cfRule>
    <cfRule type="expression" dxfId="4484" priority="3856">
      <formula>IF($B37="Quoting",TRUE,FALSE)</formula>
    </cfRule>
    <cfRule type="expression" dxfId="4483" priority="3857">
      <formula>IF($B37="Quoting",TRUE,FALSE)</formula>
    </cfRule>
    <cfRule type="expression" dxfId="4482" priority="3858">
      <formula>IF($B37="Quoting",TRUE,FALSE)</formula>
    </cfRule>
    <cfRule type="expression" dxfId="4481" priority="3859">
      <formula>IF($B37="Quoting",TRUE,FALSE)</formula>
    </cfRule>
    <cfRule type="expression" dxfId="4480" priority="3860">
      <formula>IF($B37="Quoting",TRUE,FALSE)</formula>
    </cfRule>
    <cfRule type="expression" dxfId="4479" priority="3861">
      <formula>IF($B37="Quoting",TRUE,FALSE)</formula>
    </cfRule>
    <cfRule type="expression" dxfId="4478" priority="3862">
      <formula>IF($B37="Quoting",TRUE,FALSE)</formula>
    </cfRule>
    <cfRule type="expression" dxfId="4477" priority="3863">
      <formula>IF($B37="Quoting",TRUE,FALSE)</formula>
    </cfRule>
    <cfRule type="expression" dxfId="4476" priority="3864">
      <formula>IF($B37="Quoting",TRUE,FALSE)</formula>
    </cfRule>
    <cfRule type="expression" dxfId="4475" priority="3865">
      <formula>IF($B37="Quoting",TRUE,FALSE)</formula>
    </cfRule>
    <cfRule type="expression" dxfId="4474" priority="3866">
      <formula>IF($B37="Quoting",TRUE,FALSE)</formula>
    </cfRule>
    <cfRule type="expression" dxfId="4473" priority="3867">
      <formula>IF($B37="Quoting",TRUE,FALSE)</formula>
    </cfRule>
    <cfRule type="expression" dxfId="4472" priority="3868">
      <formula>IF($B37="Quoting",TRUE,FALSE)</formula>
    </cfRule>
    <cfRule type="expression" dxfId="4471" priority="3869">
      <formula>IF($B37="Quoting",TRUE,FALSE)</formula>
    </cfRule>
    <cfRule type="expression" dxfId="4470" priority="3870">
      <formula>IF($B37="Quoting",TRUE,FALSE)</formula>
    </cfRule>
    <cfRule type="expression" dxfId="4469" priority="3871">
      <formula>IF($B37="Quoting",TRUE,FALSE)</formula>
    </cfRule>
    <cfRule type="expression" dxfId="4468" priority="3872">
      <formula>IF($B37="Quoting",TRUE,FALSE)</formula>
    </cfRule>
    <cfRule type="expression" dxfId="4467" priority="3873">
      <formula>IF($B37="Quoting",TRUE,FALSE)</formula>
    </cfRule>
    <cfRule type="expression" dxfId="4466" priority="3874">
      <formula>IF($B37="Quoting",TRUE,FALSE)</formula>
    </cfRule>
    <cfRule type="expression" dxfId="4465" priority="3875">
      <formula>IF($B37="Quoting",TRUE,FALSE)</formula>
    </cfRule>
    <cfRule type="expression" dxfId="4464" priority="3876">
      <formula>IF($B37="Quoting",TRUE,FALSE)</formula>
    </cfRule>
    <cfRule type="expression" dxfId="4463" priority="3877">
      <formula>IF($B37="Quoting",TRUE,FALSE)</formula>
    </cfRule>
    <cfRule type="expression" dxfId="4462" priority="3878">
      <formula>IF($B37="Quoting",TRUE,FALSE)</formula>
    </cfRule>
    <cfRule type="expression" dxfId="4461" priority="3879">
      <formula>IF($B37="Quoting",TRUE,FALSE)</formula>
    </cfRule>
    <cfRule type="expression" dxfId="4460" priority="3880">
      <formula>IF($B37="Quoting",TRUE,FALSE)</formula>
    </cfRule>
    <cfRule type="expression" dxfId="4459" priority="3881">
      <formula>IF($B37="Quoting",TRUE,FALSE)</formula>
    </cfRule>
    <cfRule type="expression" dxfId="4458" priority="3882">
      <formula>IF($B37="Quoting",TRUE,FALSE)</formula>
    </cfRule>
    <cfRule type="expression" dxfId="4457" priority="3883">
      <formula>IF($B37="Quoting",TRUE,FALSE)</formula>
    </cfRule>
    <cfRule type="expression" dxfId="4456" priority="3884">
      <formula>IF($B37="Quoting",TRUE,FALSE)</formula>
    </cfRule>
    <cfRule type="expression" dxfId="4455" priority="3885">
      <formula>IF($B37="Quoting",TRUE,FALSE)</formula>
    </cfRule>
    <cfRule type="expression" dxfId="4454" priority="3886">
      <formula>IF($B37="Quoting",TRUE,FALSE)</formula>
    </cfRule>
    <cfRule type="expression" dxfId="4453" priority="3887">
      <formula>IF($B37="Quoting",TRUE,FALSE)</formula>
    </cfRule>
    <cfRule type="expression" dxfId="4452" priority="3888">
      <formula>IF($B37="Quoting",TRUE,FALSE)</formula>
    </cfRule>
    <cfRule type="expression" dxfId="4451" priority="3889">
      <formula>IF($B37="Quoting",TRUE,FALSE)</formula>
    </cfRule>
    <cfRule type="expression" dxfId="4450" priority="3890">
      <formula>IF($B37="Quoting",TRUE,FALSE)</formula>
    </cfRule>
    <cfRule type="expression" dxfId="4449" priority="3891">
      <formula>IF($B37="Quoting",TRUE,FALSE)</formula>
    </cfRule>
    <cfRule type="expression" dxfId="4448" priority="3892">
      <formula>IF($B37="Quoting",TRUE,FALSE)</formula>
    </cfRule>
    <cfRule type="expression" dxfId="4447" priority="3893">
      <formula>IF($B37="Quoting",TRUE,FALSE)</formula>
    </cfRule>
    <cfRule type="expression" dxfId="4446" priority="3894">
      <formula>IF($B37="Quoting",TRUE,FALSE)</formula>
    </cfRule>
    <cfRule type="expression" dxfId="4445" priority="3895">
      <formula>IF($B37="Quoting",TRUE,FALSE)</formula>
    </cfRule>
    <cfRule type="expression" dxfId="4444" priority="3896">
      <formula>IF($B37="Quoting",TRUE,FALSE)</formula>
    </cfRule>
    <cfRule type="expression" dxfId="4443" priority="3897">
      <formula>IF($B37="Quoting",TRUE,FALSE)</formula>
    </cfRule>
    <cfRule type="expression" dxfId="4442" priority="3898">
      <formula>IF($B37="Quoting",TRUE,FALSE)</formula>
    </cfRule>
    <cfRule type="expression" dxfId="4441" priority="3899">
      <formula>IF($B37="Quoting",TRUE,FALSE)</formula>
    </cfRule>
    <cfRule type="expression" dxfId="4440" priority="3900">
      <formula>IF($B37="Quoting",TRUE,FALSE)</formula>
    </cfRule>
    <cfRule type="expression" dxfId="4439" priority="3901">
      <formula>IF($B37="Quoting",TRUE,FALSE)</formula>
    </cfRule>
    <cfRule type="expression" dxfId="4438" priority="3902">
      <formula>IF($B37="Quoting",TRUE,FALSE)</formula>
    </cfRule>
    <cfRule type="expression" dxfId="4437" priority="3903">
      <formula>IF($B37="Quoting",TRUE,FALSE)</formula>
    </cfRule>
    <cfRule type="expression" dxfId="4436" priority="3904">
      <formula>IF($B37="Quoting",TRUE,FALSE)</formula>
    </cfRule>
    <cfRule type="expression" dxfId="4435" priority="3905">
      <formula>IF($B37="Quoting",TRUE,FALSE)</formula>
    </cfRule>
    <cfRule type="expression" dxfId="4434" priority="3906">
      <formula>IF($B37="Quoting",TRUE,FALSE)</formula>
    </cfRule>
    <cfRule type="expression" dxfId="4433" priority="3907">
      <formula>IF($B37="Quoting",TRUE,FALSE)</formula>
    </cfRule>
    <cfRule type="expression" dxfId="4432" priority="3908">
      <formula>IF($B37="Quoting",TRUE,FALSE)</formula>
    </cfRule>
    <cfRule type="expression" dxfId="4431" priority="3909">
      <formula>IF($B37="Quoting",TRUE,FALSE)</formula>
    </cfRule>
    <cfRule type="expression" dxfId="4430" priority="3910">
      <formula>IF($B37="Quoting",TRUE,FALSE)</formula>
    </cfRule>
    <cfRule type="expression" dxfId="4429" priority="3911">
      <formula>IF($B37="Quoting",TRUE,FALSE)</formula>
    </cfRule>
    <cfRule type="expression" dxfId="4428" priority="3912">
      <formula>IF($B37="Quoting",TRUE,FALSE)</formula>
    </cfRule>
    <cfRule type="expression" dxfId="4427" priority="3913">
      <formula>IF($B37="Quoting",TRUE,FALSE)</formula>
    </cfRule>
    <cfRule type="expression" dxfId="4426" priority="3914">
      <formula>IF($B37="Quoting",TRUE,FALSE)</formula>
    </cfRule>
    <cfRule type="expression" dxfId="4425" priority="3915">
      <formula>IF($B37="Quoting",TRUE,FALSE)</formula>
    </cfRule>
    <cfRule type="expression" dxfId="4424" priority="3916">
      <formula>IF($B37="Quoting",TRUE,FALSE)</formula>
    </cfRule>
    <cfRule type="expression" dxfId="4423" priority="3917">
      <formula>IF($B37="Quoting",TRUE,FALSE)</formula>
    </cfRule>
    <cfRule type="expression" dxfId="4422" priority="3918">
      <formula>IF($B37="Quoting",TRUE,FALSE)</formula>
    </cfRule>
    <cfRule type="expression" dxfId="4421" priority="3919">
      <formula>IF($B37="Quoting",TRUE,FALSE)</formula>
    </cfRule>
    <cfRule type="expression" dxfId="4420" priority="3920">
      <formula>IF($B37="Quoting",TRUE,FALSE)</formula>
    </cfRule>
    <cfRule type="expression" dxfId="4419" priority="3921">
      <formula>IF($B37="Quoting",TRUE,FALSE)</formula>
    </cfRule>
    <cfRule type="expression" dxfId="4418" priority="3922">
      <formula>IF($B37="Quoting",TRUE,FALSE)</formula>
    </cfRule>
    <cfRule type="expression" dxfId="4417" priority="3923">
      <formula>IF($B37="Quoting",TRUE,FALSE)</formula>
    </cfRule>
    <cfRule type="expression" dxfId="4416" priority="3924">
      <formula>IF($B37="Quoting",TRUE,FALSE)</formula>
    </cfRule>
    <cfRule type="expression" dxfId="4415" priority="3925">
      <formula>IF($B37="Quoting",TRUE,FALSE)</formula>
    </cfRule>
    <cfRule type="expression" dxfId="4414" priority="3926">
      <formula>IF($B37="Quoting",TRUE,FALSE)</formula>
    </cfRule>
    <cfRule type="expression" dxfId="4413" priority="3927">
      <formula>IF($B37="Quoting",TRUE,FALSE)</formula>
    </cfRule>
    <cfRule type="expression" dxfId="4412" priority="3928">
      <formula>IF($B37="Quoting",TRUE,FALSE)</formula>
    </cfRule>
    <cfRule type="expression" dxfId="4411" priority="3929">
      <formula>IF($B37="Quoting",TRUE,FALSE)</formula>
    </cfRule>
    <cfRule type="expression" dxfId="4410" priority="3930">
      <formula>IF($B37="Quoting",TRUE,FALSE)</formula>
    </cfRule>
    <cfRule type="expression" dxfId="4409" priority="3931">
      <formula>IF($B37="Quoting",TRUE,FALSE)</formula>
    </cfRule>
    <cfRule type="expression" dxfId="4408" priority="3932">
      <formula>IF($B37="Quoting",TRUE,FALSE)</formula>
    </cfRule>
    <cfRule type="expression" dxfId="4407" priority="3933">
      <formula>IF($B37="Quoting",TRUE,FALSE)</formula>
    </cfRule>
    <cfRule type="expression" dxfId="4406" priority="3934">
      <formula>IF($B37="Quoting",TRUE,FALSE)</formula>
    </cfRule>
    <cfRule type="expression" dxfId="4405" priority="3935">
      <formula>IF($B37="Quoting",TRUE,FALSE)</formula>
    </cfRule>
    <cfRule type="expression" dxfId="4404" priority="3936">
      <formula>IF($B37="Quoting",TRUE,FALSE)</formula>
    </cfRule>
    <cfRule type="expression" dxfId="4403" priority="3937">
      <formula>IF($B37="Quoting",TRUE,FALSE)</formula>
    </cfRule>
    <cfRule type="expression" dxfId="4402" priority="3938">
      <formula>IF($B37="Quoting",TRUE,FALSE)</formula>
    </cfRule>
    <cfRule type="expression" dxfId="4401" priority="3939">
      <formula>IF($B37="Quoting",TRUE,FALSE)</formula>
    </cfRule>
    <cfRule type="expression" dxfId="4400" priority="3940">
      <formula>IF($B37="Quoting",TRUE,FALSE)</formula>
    </cfRule>
    <cfRule type="expression" dxfId="4399" priority="3941">
      <formula>IF($B37="Quoting",TRUE,FALSE)</formula>
    </cfRule>
    <cfRule type="expression" dxfId="4398" priority="3942">
      <formula>IF($B37="Quoting",TRUE,FALSE)</formula>
    </cfRule>
    <cfRule type="expression" dxfId="4397" priority="3943">
      <formula>IF($B37="Quoting",TRUE,FALSE)</formula>
    </cfRule>
    <cfRule type="expression" dxfId="4396" priority="3944">
      <formula>IF($B37="Quoting",TRUE,FALSE)</formula>
    </cfRule>
    <cfRule type="expression" dxfId="4395" priority="3945">
      <formula>IF($B37="Quoting",TRUE,FALSE)</formula>
    </cfRule>
    <cfRule type="expression" dxfId="4394" priority="3946">
      <formula>IF($B37="Quoting",TRUE,FALSE)</formula>
    </cfRule>
    <cfRule type="expression" dxfId="4393" priority="3947">
      <formula>IF($B37="Quoting",TRUE,FALSE)</formula>
    </cfRule>
    <cfRule type="expression" dxfId="4392" priority="3948">
      <formula>IF($B37="Quoting",TRUE,FALSE)</formula>
    </cfRule>
    <cfRule type="expression" dxfId="4391" priority="3949">
      <formula>IF($B37="Quoting",TRUE,FALSE)</formula>
    </cfRule>
    <cfRule type="expression" dxfId="4390" priority="3950">
      <formula>IF($B37="Quoting",TRUE,FALSE)</formula>
    </cfRule>
    <cfRule type="expression" dxfId="4389" priority="3951">
      <formula>IF($B37="Quoting",TRUE,FALSE)</formula>
    </cfRule>
    <cfRule type="expression" dxfId="4388" priority="3952">
      <formula>IF($B37="Quoting",TRUE,FALSE)</formula>
    </cfRule>
    <cfRule type="expression" dxfId="4387" priority="3953">
      <formula>IF($B37="Quoting",TRUE,FALSE)</formula>
    </cfRule>
    <cfRule type="expression" dxfId="4386" priority="3954">
      <formula>IF($B37="Quoting",TRUE,FALSE)</formula>
    </cfRule>
    <cfRule type="expression" dxfId="4385" priority="3955">
      <formula>IF($B37="Quoting",TRUE,FALSE)</formula>
    </cfRule>
    <cfRule type="expression" dxfId="4384" priority="3956">
      <formula>IF($B37="Quoting",TRUE,FALSE)</formula>
    </cfRule>
    <cfRule type="expression" dxfId="4383" priority="3957">
      <formula>IF($B37="Quoting",TRUE,FALSE)</formula>
    </cfRule>
    <cfRule type="expression" dxfId="4382" priority="3958">
      <formula>IF($B37="Quoting",TRUE,FALSE)</formula>
    </cfRule>
    <cfRule type="expression" dxfId="4381" priority="3959">
      <formula>IF($B37="Quoting",TRUE,FALSE)</formula>
    </cfRule>
    <cfRule type="expression" dxfId="4380" priority="3960">
      <formula>IF($B37="Quoting",TRUE,FALSE)</formula>
    </cfRule>
    <cfRule type="expression" dxfId="4379" priority="3961">
      <formula>IF($B37="Quoting",TRUE,FALSE)</formula>
    </cfRule>
    <cfRule type="expression" dxfId="4378" priority="3962">
      <formula>IF($B37="Quoting",TRUE,FALSE)</formula>
    </cfRule>
    <cfRule type="expression" dxfId="4377" priority="3963">
      <formula>IF($B37="Quoting",TRUE,FALSE)</formula>
    </cfRule>
    <cfRule type="expression" dxfId="4376" priority="3964">
      <formula>IF($B37="Quoting",TRUE,FALSE)</formula>
    </cfRule>
    <cfRule type="expression" dxfId="4375" priority="3965">
      <formula>IF($B37="Quoting",TRUE,FALSE)</formula>
    </cfRule>
    <cfRule type="expression" dxfId="4374" priority="3966">
      <formula>IF($B37="Quoting",TRUE,FALSE)</formula>
    </cfRule>
    <cfRule type="expression" dxfId="4373" priority="3967">
      <formula>IF($B37="Quoting",TRUE,FALSE)</formula>
    </cfRule>
    <cfRule type="expression" dxfId="4372" priority="3968">
      <formula>IF($B37="Quoting",TRUE,FALSE)</formula>
    </cfRule>
    <cfRule type="expression" dxfId="4371" priority="3969">
      <formula>IF($B37="Quoting",TRUE,FALSE)</formula>
    </cfRule>
    <cfRule type="expression" dxfId="4370" priority="3970">
      <formula>IF($B37="Quoting",TRUE,FALSE)</formula>
    </cfRule>
    <cfRule type="expression" dxfId="4369" priority="3971">
      <formula>IF($B37="Quoting",TRUE,FALSE)</formula>
    </cfRule>
    <cfRule type="expression" dxfId="4368" priority="3972">
      <formula>IF($B37="Quoting",TRUE,FALSE)</formula>
    </cfRule>
    <cfRule type="expression" dxfId="4367" priority="3973">
      <formula>IF($B37="Quoting",TRUE,FALSE)</formula>
    </cfRule>
    <cfRule type="expression" dxfId="4366" priority="3974">
      <formula>IF($B37="Quoting",TRUE,FALSE)</formula>
    </cfRule>
    <cfRule type="expression" dxfId="4365" priority="3975">
      <formula>IF($B37="Quoting",TRUE,FALSE)</formula>
    </cfRule>
    <cfRule type="expression" dxfId="4364" priority="3976">
      <formula>IF($B37="Quoting",TRUE,FALSE)</formula>
    </cfRule>
    <cfRule type="expression" dxfId="4363" priority="3977">
      <formula>IF($B37="Quoting",TRUE,FALSE)</formula>
    </cfRule>
    <cfRule type="expression" dxfId="4362" priority="3978">
      <formula>IF($B37="Quoting",TRUE,FALSE)</formula>
    </cfRule>
    <cfRule type="expression" dxfId="4361" priority="3979">
      <formula>IF($B37="Quoting",TRUE,FALSE)</formula>
    </cfRule>
    <cfRule type="expression" dxfId="4360" priority="3980">
      <formula>IF($B37="Quoting",TRUE,FALSE)</formula>
    </cfRule>
    <cfRule type="expression" dxfId="4359" priority="3981">
      <formula>IF($B37="Quoting",TRUE,FALSE)</formula>
    </cfRule>
    <cfRule type="expression" dxfId="4358" priority="3982">
      <formula>IF($B37="Quoting",TRUE,FALSE)</formula>
    </cfRule>
    <cfRule type="expression" dxfId="4357" priority="3983">
      <formula>IF($B37="Quoting",TRUE,FALSE)</formula>
    </cfRule>
    <cfRule type="expression" dxfId="4356" priority="3984">
      <formula>IF($B37="Quoting",TRUE,FALSE)</formula>
    </cfRule>
    <cfRule type="expression" dxfId="4355" priority="3985">
      <formula>IF($B37="Quoting",TRUE,FALSE)</formula>
    </cfRule>
    <cfRule type="expression" dxfId="4354" priority="3986">
      <formula>IF($B37="Quoting",TRUE,FALSE)</formula>
    </cfRule>
    <cfRule type="expression" dxfId="4353" priority="3987">
      <formula>IF($B37="Quoting",TRUE,FALSE)</formula>
    </cfRule>
    <cfRule type="expression" dxfId="4352" priority="3988">
      <formula>IF($B37="Quoting",TRUE,FALSE)</formula>
    </cfRule>
    <cfRule type="expression" dxfId="4351" priority="3989">
      <formula>IF($B37="Quoting",TRUE,FALSE)</formula>
    </cfRule>
    <cfRule type="expression" dxfId="4350" priority="3990">
      <formula>IF($B37="Quoting",TRUE,FALSE)</formula>
    </cfRule>
    <cfRule type="expression" dxfId="4349" priority="3991">
      <formula>IF($B37="Quoting",TRUE,FALSE)</formula>
    </cfRule>
    <cfRule type="expression" dxfId="4348" priority="3992">
      <formula>IF($B37="Quoting",TRUE,FALSE)</formula>
    </cfRule>
    <cfRule type="expression" dxfId="4347" priority="3993">
      <formula>IF($B37="Quoting",TRUE,FALSE)</formula>
    </cfRule>
    <cfRule type="expression" dxfId="4346" priority="3994">
      <formula>IF($B37="Quoting",TRUE,FALSE)</formula>
    </cfRule>
    <cfRule type="expression" dxfId="4345" priority="3995">
      <formula>IF($B37="Quoting",TRUE,FALSE)</formula>
    </cfRule>
    <cfRule type="expression" dxfId="4344" priority="3996">
      <formula>IF($B37="Quoting",TRUE,FALSE)</formula>
    </cfRule>
    <cfRule type="expression" dxfId="4343" priority="3997">
      <formula>IF($B37="Quoting",TRUE,FALSE)</formula>
    </cfRule>
    <cfRule type="expression" dxfId="4342" priority="3998">
      <formula>IF($B37="Quoting",TRUE,FALSE)</formula>
    </cfRule>
    <cfRule type="expression" dxfId="4341" priority="3999">
      <formula>IF($B37="Quoting",TRUE,FALSE)</formula>
    </cfRule>
    <cfRule type="expression" dxfId="4340" priority="4000">
      <formula>IF($B37="Quoting",TRUE,FALSE)</formula>
    </cfRule>
    <cfRule type="expression" dxfId="4339" priority="4001">
      <formula>IF($B37="Quoting",TRUE,FALSE)</formula>
    </cfRule>
    <cfRule type="expression" dxfId="4338" priority="4002">
      <formula>IF($B37="Quoting",TRUE,FALSE)</formula>
    </cfRule>
    <cfRule type="expression" dxfId="4337" priority="4003">
      <formula>IF($B37="Quoting",TRUE,FALSE)</formula>
    </cfRule>
    <cfRule type="expression" dxfId="4336" priority="4004">
      <formula>IF($B37="Quoting",TRUE,FALSE)</formula>
    </cfRule>
    <cfRule type="expression" dxfId="4335" priority="4005">
      <formula>IF($B37="Quoting",TRUE,FALSE)</formula>
    </cfRule>
    <cfRule type="expression" dxfId="4334" priority="4006">
      <formula>IF($B37="Quoting",TRUE,FALSE)</formula>
    </cfRule>
    <cfRule type="expression" dxfId="4333" priority="4007">
      <formula>IF($B37="Quoting",TRUE,FALSE)</formula>
    </cfRule>
    <cfRule type="expression" dxfId="4332" priority="4008">
      <formula>IF($B37="Quoting",TRUE,FALSE)</formula>
    </cfRule>
    <cfRule type="expression" dxfId="4331" priority="4009">
      <formula>IF($B37="Quoting",TRUE,FALSE)</formula>
    </cfRule>
    <cfRule type="expression" dxfId="4330" priority="4010">
      <formula>IF($B37="Quoting",TRUE,FALSE)</formula>
    </cfRule>
    <cfRule type="expression" dxfId="4329" priority="4011">
      <formula>IF($B37="Quoting",TRUE,FALSE)</formula>
    </cfRule>
    <cfRule type="expression" dxfId="4328" priority="4012">
      <formula>IF($B37="Quoting",TRUE,FALSE)</formula>
    </cfRule>
    <cfRule type="expression" dxfId="4327" priority="4013">
      <formula>IF($B37="Quoting",TRUE,FALSE)</formula>
    </cfRule>
    <cfRule type="expression" dxfId="4326" priority="4014">
      <formula>IF($B37="Quoting",TRUE,FALSE)</formula>
    </cfRule>
    <cfRule type="expression" dxfId="4325" priority="4015">
      <formula>IF($B37="Quoting",TRUE,FALSE)</formula>
    </cfRule>
    <cfRule type="expression" dxfId="4324" priority="4016">
      <formula>IF($B37="Quoting",TRUE,FALSE)</formula>
    </cfRule>
    <cfRule type="expression" dxfId="4323" priority="4017">
      <formula>IF($B37="Quoting",TRUE,FALSE)</formula>
    </cfRule>
    <cfRule type="expression" dxfId="4322" priority="4018">
      <formula>IF($B37="Quoting",TRUE,FALSE)</formula>
    </cfRule>
    <cfRule type="expression" dxfId="4321" priority="4019">
      <formula>IF($B37="Quoting",TRUE,FALSE)</formula>
    </cfRule>
    <cfRule type="expression" dxfId="4320" priority="4020">
      <formula>IF($B37="Quoting",TRUE,FALSE)</formula>
    </cfRule>
    <cfRule type="expression" dxfId="4319" priority="4021">
      <formula>IF($B37="Quoting",TRUE,FALSE)</formula>
    </cfRule>
    <cfRule type="expression" dxfId="4318" priority="4022">
      <formula>IF($B37="Quoting",TRUE,FALSE)</formula>
    </cfRule>
    <cfRule type="expression" dxfId="4317" priority="4023">
      <formula>IF($B37="Quoting",TRUE,FALSE)</formula>
    </cfRule>
    <cfRule type="expression" dxfId="4316" priority="4024">
      <formula>IF($B37="Quoting",TRUE,FALSE)</formula>
    </cfRule>
    <cfRule type="expression" dxfId="4315" priority="4025">
      <formula>IF($B37="Quoting",TRUE,FALSE)</formula>
    </cfRule>
    <cfRule type="expression" dxfId="4314" priority="4026">
      <formula>IF($B37="Quoting",TRUE,FALSE)</formula>
    </cfRule>
    <cfRule type="expression" dxfId="4313" priority="4027">
      <formula>IF($B37="Quoting",TRUE,FALSE)</formula>
    </cfRule>
    <cfRule type="expression" dxfId="4312" priority="4028">
      <formula>IF($B37="Quoting",TRUE,FALSE)</formula>
    </cfRule>
    <cfRule type="expression" dxfId="4311" priority="4029">
      <formula>IF($B37="Quoting",TRUE,FALSE)</formula>
    </cfRule>
    <cfRule type="expression" dxfId="4310" priority="4030">
      <formula>IF($B37="Quoting",TRUE,FALSE)</formula>
    </cfRule>
    <cfRule type="expression" dxfId="4309" priority="4031">
      <formula>IF($B37="Quoting",TRUE,FALSE)</formula>
    </cfRule>
    <cfRule type="expression" dxfId="4308" priority="4032">
      <formula>IF($B37="Quoting",TRUE,FALSE)</formula>
    </cfRule>
    <cfRule type="expression" dxfId="4307" priority="4033">
      <formula>IF($B37="Quoting",TRUE,FALSE)</formula>
    </cfRule>
    <cfRule type="expression" dxfId="4306" priority="4034">
      <formula>IF($B37="Quoting",TRUE,FALSE)</formula>
    </cfRule>
    <cfRule type="expression" dxfId="4305" priority="4035">
      <formula>IF($B37="Quoting",TRUE,FALSE)</formula>
    </cfRule>
    <cfRule type="expression" dxfId="4304" priority="4036">
      <formula>IF($B37="Quoting",TRUE,FALSE)</formula>
    </cfRule>
    <cfRule type="expression" dxfId="4303" priority="4037">
      <formula>IF($B37="Quoting",TRUE,FALSE)</formula>
    </cfRule>
    <cfRule type="expression" dxfId="4302" priority="4038">
      <formula>IF($B37="Quoting",TRUE,FALSE)</formula>
    </cfRule>
    <cfRule type="expression" dxfId="4301" priority="4039">
      <formula>IF($B37="Quoting",TRUE,FALSE)</formula>
    </cfRule>
    <cfRule type="expression" dxfId="4300" priority="4040">
      <formula>IF($B37="Quoting",TRUE,FALSE)</formula>
    </cfRule>
    <cfRule type="expression" dxfId="4299" priority="4041">
      <formula>IF($B37="Quoting",TRUE,FALSE)</formula>
    </cfRule>
    <cfRule type="expression" dxfId="4298" priority="4042">
      <formula>IF($B37="Quoting",TRUE,FALSE)</formula>
    </cfRule>
    <cfRule type="expression" dxfId="4297" priority="4043">
      <formula>IF($B37="Quoting",TRUE,FALSE)</formula>
    </cfRule>
    <cfRule type="expression" dxfId="4296" priority="4044">
      <formula>IF($B37="Quoting",TRUE,FALSE)</formula>
    </cfRule>
    <cfRule type="expression" dxfId="4295" priority="4045">
      <formula>IF($B37="Quoting",TRUE,FALSE)</formula>
    </cfRule>
    <cfRule type="expression" dxfId="4294" priority="4046">
      <formula>IF($B37="Quoting",TRUE,FALSE)</formula>
    </cfRule>
    <cfRule type="expression" dxfId="4293" priority="4047">
      <formula>IF($B37="Quoting",TRUE,FALSE)</formula>
    </cfRule>
    <cfRule type="expression" dxfId="4292" priority="4048">
      <formula>IF($B37="Quoting",TRUE,FALSE)</formula>
    </cfRule>
    <cfRule type="expression" dxfId="4291" priority="4049">
      <formula>IF($B37="Quoting",TRUE,FALSE)</formula>
    </cfRule>
    <cfRule type="expression" dxfId="4290" priority="4050">
      <formula>IF($B37="Quoting",TRUE,FALSE)</formula>
    </cfRule>
    <cfRule type="expression" dxfId="4289" priority="4051">
      <formula>IF($B37="Quoting",TRUE,FALSE)</formula>
    </cfRule>
    <cfRule type="expression" dxfId="4288" priority="4052">
      <formula>IF($B37="Quoting",TRUE,FALSE)</formula>
    </cfRule>
    <cfRule type="expression" dxfId="4287" priority="4053">
      <formula>IF($B37="Quoting",TRUE,FALSE)</formula>
    </cfRule>
    <cfRule type="expression" dxfId="4286" priority="4054">
      <formula>IF($B37="Quoting",TRUE,FALSE)</formula>
    </cfRule>
    <cfRule type="expression" dxfId="4285" priority="4055">
      <formula>IF($B37="Quoting",TRUE,FALSE)</formula>
    </cfRule>
    <cfRule type="expression" dxfId="4284" priority="4056">
      <formula>IF($B37="Quoting",TRUE,FALSE)</formula>
    </cfRule>
    <cfRule type="expression" dxfId="4283" priority="4057">
      <formula>IF($B37="Quoting",TRUE,FALSE)</formula>
    </cfRule>
    <cfRule type="expression" dxfId="4282" priority="4058">
      <formula>IF($B37="Quoting",TRUE,FALSE)</formula>
    </cfRule>
    <cfRule type="expression" dxfId="4281" priority="4059">
      <formula>IF($B37="Quoting",TRUE,FALSE)</formula>
    </cfRule>
    <cfRule type="expression" dxfId="4280" priority="4060">
      <formula>IF($B37="Quoting",TRUE,FALSE)</formula>
    </cfRule>
    <cfRule type="expression" dxfId="4279" priority="4061">
      <formula>IF($B37="Quoting",TRUE,FALSE)</formula>
    </cfRule>
    <cfRule type="expression" dxfId="4278" priority="4062">
      <formula>IF($B37="Quoting",TRUE,FALSE)</formula>
    </cfRule>
    <cfRule type="expression" dxfId="4277" priority="4063">
      <formula>IF($B37="Quoting",TRUE,FALSE)</formula>
    </cfRule>
    <cfRule type="expression" dxfId="4276" priority="4064">
      <formula>IF($B37="Quoting",TRUE,FALSE)</formula>
    </cfRule>
    <cfRule type="expression" dxfId="4275" priority="4065">
      <formula>IF($B37="Quoting",TRUE,FALSE)</formula>
    </cfRule>
    <cfRule type="expression" dxfId="4274" priority="4066">
      <formula>IF($B37="Quoting",TRUE,FALSE)</formula>
    </cfRule>
    <cfRule type="expression" dxfId="4273" priority="4067">
      <formula>IF($B37="Quoting",TRUE,FALSE)</formula>
    </cfRule>
    <cfRule type="expression" dxfId="4272" priority="4068">
      <formula>IF($B37="Quoting",TRUE,FALSE)</formula>
    </cfRule>
    <cfRule type="expression" dxfId="4271" priority="4069">
      <formula>IF($B37="Quoting",TRUE,FALSE)</formula>
    </cfRule>
    <cfRule type="expression" dxfId="4270" priority="4070">
      <formula>IF($B37="Quoting",TRUE,FALSE)</formula>
    </cfRule>
    <cfRule type="expression" dxfId="4269" priority="4071">
      <formula>IF($B37="Quoting",TRUE,FALSE)</formula>
    </cfRule>
    <cfRule type="expression" dxfId="4268" priority="4072">
      <formula>IF($B37="Quoting",TRUE,FALSE)</formula>
    </cfRule>
    <cfRule type="expression" dxfId="4267" priority="4073">
      <formula>IF($B37="Quoting",TRUE,FALSE)</formula>
    </cfRule>
    <cfRule type="expression" dxfId="4266" priority="4074">
      <formula>IF($B37="Quoting",TRUE,FALSE)</formula>
    </cfRule>
    <cfRule type="expression" dxfId="4265" priority="4075">
      <formula>IF($B37="Quoting",TRUE,FALSE)</formula>
    </cfRule>
    <cfRule type="expression" dxfId="4264" priority="4076">
      <formula>IF($B37="Quoting",TRUE,FALSE)</formula>
    </cfRule>
    <cfRule type="expression" dxfId="4263" priority="4077">
      <formula>IF($B37="Quoting",TRUE,FALSE)</formula>
    </cfRule>
    <cfRule type="expression" dxfId="4262" priority="4078">
      <formula>IF($B37="Quoting",TRUE,FALSE)</formula>
    </cfRule>
    <cfRule type="expression" dxfId="4261" priority="4079">
      <formula>IF($B37="Quoting",TRUE,FALSE)</formula>
    </cfRule>
    <cfRule type="expression" dxfId="4260" priority="4080">
      <formula>IF($B37="Quoting",TRUE,FALSE)</formula>
    </cfRule>
    <cfRule type="expression" dxfId="4259" priority="4081">
      <formula>IF($B37="Quoting",TRUE,FALSE)</formula>
    </cfRule>
    <cfRule type="expression" dxfId="4258" priority="4082">
      <formula>IF($B37="Quoting",TRUE,FALSE)</formula>
    </cfRule>
    <cfRule type="expression" dxfId="4257" priority="4083">
      <formula>IF($B37="Quoting",TRUE,FALSE)</formula>
    </cfRule>
    <cfRule type="expression" dxfId="4256" priority="4084">
      <formula>IF($B37="Quoting",TRUE,FALSE)</formula>
    </cfRule>
    <cfRule type="expression" dxfId="4255" priority="4085">
      <formula>IF($B37="Quoting",TRUE,FALSE)</formula>
    </cfRule>
    <cfRule type="expression" dxfId="4254" priority="4086">
      <formula>IF($B37="Quoting",TRUE,FALSE)</formula>
    </cfRule>
    <cfRule type="expression" dxfId="4253" priority="4087">
      <formula>IF($B37="Quoting",TRUE,FALSE)</formula>
    </cfRule>
    <cfRule type="expression" dxfId="4252" priority="4088">
      <formula>IF($B37="Quoting",TRUE,FALSE)</formula>
    </cfRule>
    <cfRule type="expression" dxfId="4251" priority="4089">
      <formula>IF($B37="Quoting",TRUE,FALSE)</formula>
    </cfRule>
    <cfRule type="expression" dxfId="4250" priority="4090">
      <formula>IF($B37="Quoting",TRUE,FALSE)</formula>
    </cfRule>
    <cfRule type="expression" dxfId="4249" priority="4091">
      <formula>IF($B37="Quoting",TRUE,FALSE)</formula>
    </cfRule>
    <cfRule type="expression" dxfId="4248" priority="4092">
      <formula>IF($B37="Quoting",TRUE,FALSE)</formula>
    </cfRule>
    <cfRule type="expression" dxfId="4247" priority="4093">
      <formula>IF($B37="Quoting",TRUE,FALSE)</formula>
    </cfRule>
    <cfRule type="expression" dxfId="4246" priority="4094">
      <formula>IF($B37="Quoting",TRUE,FALSE)</formula>
    </cfRule>
    <cfRule type="expression" dxfId="4245" priority="4095">
      <formula>IF($B37="Quoting",TRUE,FALSE)</formula>
    </cfRule>
  </conditionalFormatting>
  <conditionalFormatting sqref="G36:H36">
    <cfRule type="expression" dxfId="4244" priority="14132">
      <formula>IF($B36="Quoting",TRUE,FALSE)</formula>
    </cfRule>
    <cfRule type="expression" dxfId="4243" priority="14133">
      <formula>IF($B36="Quoting",TRUE,FALSE)</formula>
    </cfRule>
    <cfRule type="expression" dxfId="4242" priority="14134">
      <formula>IF($B36="Quoting",TRUE,FALSE)</formula>
    </cfRule>
    <cfRule type="expression" dxfId="4241" priority="14135">
      <formula>IF($B36="Quoting",TRUE,FALSE)</formula>
    </cfRule>
    <cfRule type="expression" dxfId="4240" priority="14136">
      <formula>IF($B36="Quoting",TRUE,FALSE)</formula>
    </cfRule>
    <cfRule type="expression" dxfId="4239" priority="14137">
      <formula>IF($B36="Quoting",TRUE,FALSE)</formula>
    </cfRule>
    <cfRule type="expression" dxfId="4238" priority="14138">
      <formula>IF($B36="Quoting",TRUE,FALSE)</formula>
    </cfRule>
    <cfRule type="expression" dxfId="4237" priority="14139">
      <formula>IF($B36="Quoting",TRUE,FALSE)</formula>
    </cfRule>
    <cfRule type="expression" dxfId="4236" priority="14140">
      <formula>IF($B36="Quoting",TRUE,FALSE)</formula>
    </cfRule>
    <cfRule type="expression" dxfId="4235" priority="14141">
      <formula>IF($B36="Quoting",TRUE,FALSE)</formula>
    </cfRule>
    <cfRule type="expression" dxfId="4234" priority="14142">
      <formula>IF($B36="Quoting",TRUE,FALSE)</formula>
    </cfRule>
    <cfRule type="expression" dxfId="4233" priority="14143">
      <formula>IF($B36="Quoting",TRUE,FALSE)</formula>
    </cfRule>
    <cfRule type="expression" dxfId="4232" priority="14144">
      <formula>IF($B36="Quoting",TRUE,FALSE)</formula>
    </cfRule>
    <cfRule type="expression" dxfId="4231" priority="14145">
      <formula>IF($B36="Quoting",TRUE,FALSE)</formula>
    </cfRule>
    <cfRule type="expression" dxfId="4230" priority="14146">
      <formula>IF($B36="Quoting",TRUE,FALSE)</formula>
    </cfRule>
    <cfRule type="expression" dxfId="4229" priority="14147">
      <formula>IF($B36="Quoting",TRUE,FALSE)</formula>
    </cfRule>
    <cfRule type="expression" dxfId="4228" priority="14148">
      <formula>IF($B36="Quoting",TRUE,FALSE)</formula>
    </cfRule>
    <cfRule type="expression" dxfId="4227" priority="14149">
      <formula>IF($B36="Quoting",TRUE,FALSE)</formula>
    </cfRule>
    <cfRule type="expression" dxfId="4226" priority="14150">
      <formula>IF($B36="Quoting",TRUE,FALSE)</formula>
    </cfRule>
    <cfRule type="expression" dxfId="4225" priority="14151">
      <formula>IF($B36="Quoting",TRUE,FALSE)</formula>
    </cfRule>
    <cfRule type="expression" dxfId="4224" priority="14152">
      <formula>IF($B36="Quoting",TRUE,FALSE)</formula>
    </cfRule>
    <cfRule type="expression" dxfId="4223" priority="14153">
      <formula>IF($B36="Quoting",TRUE,FALSE)</formula>
    </cfRule>
    <cfRule type="expression" dxfId="4222" priority="14154">
      <formula>IF($B36="Quoting",TRUE,FALSE)</formula>
    </cfRule>
    <cfRule type="expression" dxfId="4221" priority="14155">
      <formula>IF($B36="Quoting",TRUE,FALSE)</formula>
    </cfRule>
    <cfRule type="expression" dxfId="4220" priority="14156">
      <formula>IF($B36="Quoting",TRUE,FALSE)</formula>
    </cfRule>
    <cfRule type="expression" dxfId="4219" priority="14157">
      <formula>IF($B36="Quoting",TRUE,FALSE)</formula>
    </cfRule>
    <cfRule type="expression" dxfId="4218" priority="14158">
      <formula>IF($B36="Quoting",TRUE,FALSE)</formula>
    </cfRule>
    <cfRule type="expression" dxfId="4217" priority="14159">
      <formula>IF($B36="Quoting",TRUE,FALSE)</formula>
    </cfRule>
    <cfRule type="expression" dxfId="4216" priority="14160">
      <formula>IF($B36="Quoting",TRUE,FALSE)</formula>
    </cfRule>
    <cfRule type="expression" dxfId="4215" priority="14161">
      <formula>IF($B36="Quoting",TRUE,FALSE)</formula>
    </cfRule>
    <cfRule type="expression" dxfId="4214" priority="14162">
      <formula>IF($B36="Quoting",TRUE,FALSE)</formula>
    </cfRule>
    <cfRule type="expression" dxfId="4213" priority="14163">
      <formula>IF($B36="Quoting",TRUE,FALSE)</formula>
    </cfRule>
    <cfRule type="expression" dxfId="4212" priority="14164">
      <formula>IF($B36="Quoting",TRUE,FALSE)</formula>
    </cfRule>
    <cfRule type="expression" dxfId="4211" priority="14165">
      <formula>IF($B36="Quoting",TRUE,FALSE)</formula>
    </cfRule>
    <cfRule type="expression" dxfId="4210" priority="14166">
      <formula>IF($B36="Quoting",TRUE,FALSE)</formula>
    </cfRule>
    <cfRule type="expression" dxfId="4209" priority="14167">
      <formula>IF($B36="Quoting",TRUE,FALSE)</formula>
    </cfRule>
    <cfRule type="expression" dxfId="4208" priority="14168">
      <formula>IF($B36="Quoting",TRUE,FALSE)</formula>
    </cfRule>
    <cfRule type="expression" dxfId="4207" priority="14169">
      <formula>IF($B36="Quoting",TRUE,FALSE)</formula>
    </cfRule>
    <cfRule type="expression" dxfId="4206" priority="14170">
      <formula>IF($B36="Quoting",TRUE,FALSE)</formula>
    </cfRule>
    <cfRule type="expression" dxfId="4205" priority="14171">
      <formula>IF($B36="Quoting",TRUE,FALSE)</formula>
    </cfRule>
    <cfRule type="expression" dxfId="4204" priority="14172">
      <formula>IF($B36="Quoting",TRUE,FALSE)</formula>
    </cfRule>
    <cfRule type="expression" dxfId="4203" priority="14173">
      <formula>IF($B36="Quoting",TRUE,FALSE)</formula>
    </cfRule>
    <cfRule type="expression" dxfId="4202" priority="14174">
      <formula>IF($B36="Quoting",TRUE,FALSE)</formula>
    </cfRule>
    <cfRule type="expression" dxfId="4201" priority="14175">
      <formula>IF($B36="Quoting",TRUE,FALSE)</formula>
    </cfRule>
    <cfRule type="expression" dxfId="4200" priority="14176">
      <formula>IF($B36="Quoting",TRUE,FALSE)</formula>
    </cfRule>
    <cfRule type="expression" dxfId="4199" priority="14177">
      <formula>IF($B36="Quoting",TRUE,FALSE)</formula>
    </cfRule>
    <cfRule type="expression" dxfId="4198" priority="14178">
      <formula>IF($B36="Quoting",TRUE,FALSE)</formula>
    </cfRule>
    <cfRule type="expression" dxfId="4197" priority="14179">
      <formula>IF($B36="Quoting",TRUE,FALSE)</formula>
    </cfRule>
    <cfRule type="expression" dxfId="4196" priority="14180">
      <formula>IF($B36="Quoting",TRUE,FALSE)</formula>
    </cfRule>
    <cfRule type="expression" dxfId="4195" priority="14181">
      <formula>IF($B36="Quoting",TRUE,FALSE)</formula>
    </cfRule>
    <cfRule type="expression" dxfId="4194" priority="14182">
      <formula>IF($B36="Quoting",TRUE,FALSE)</formula>
    </cfRule>
    <cfRule type="expression" dxfId="4193" priority="14183">
      <formula>IF($B36="Quoting",TRUE,FALSE)</formula>
    </cfRule>
    <cfRule type="expression" dxfId="4192" priority="14184">
      <formula>IF($B36="Quoting",TRUE,FALSE)</formula>
    </cfRule>
    <cfRule type="expression" dxfId="4191" priority="14185">
      <formula>IF($B36="Quoting",TRUE,FALSE)</formula>
    </cfRule>
    <cfRule type="expression" dxfId="4190" priority="14186">
      <formula>IF($B36="Quoting",TRUE,FALSE)</formula>
    </cfRule>
    <cfRule type="expression" dxfId="4189" priority="14187">
      <formula>IF($B36="Quoting",TRUE,FALSE)</formula>
    </cfRule>
    <cfRule type="expression" dxfId="4188" priority="14188">
      <formula>IF($B36="Quoting",TRUE,FALSE)</formula>
    </cfRule>
    <cfRule type="expression" dxfId="4187" priority="14189">
      <formula>IF($B36="Quoting",TRUE,FALSE)</formula>
    </cfRule>
    <cfRule type="expression" dxfId="4186" priority="14190">
      <formula>IF($B36="Quoting",TRUE,FALSE)</formula>
    </cfRule>
    <cfRule type="expression" dxfId="4185" priority="14191">
      <formula>IF($B36="Quoting",TRUE,FALSE)</formula>
    </cfRule>
    <cfRule type="expression" dxfId="4184" priority="14192">
      <formula>IF($B36="Quoting",TRUE,FALSE)</formula>
    </cfRule>
    <cfRule type="expression" dxfId="4183" priority="14193">
      <formula>IF($B36="Quoting",TRUE,FALSE)</formula>
    </cfRule>
    <cfRule type="expression" dxfId="4182" priority="14194">
      <formula>IF($B36="Quoting",TRUE,FALSE)</formula>
    </cfRule>
    <cfRule type="expression" dxfId="4181" priority="14195">
      <formula>IF($B36="Quoting",TRUE,FALSE)</formula>
    </cfRule>
    <cfRule type="expression" dxfId="4180" priority="14196">
      <formula>IF($B36="Quoting",TRUE,FALSE)</formula>
    </cfRule>
    <cfRule type="expression" dxfId="4179" priority="14197">
      <formula>IF($B36="Quoting",TRUE,FALSE)</formula>
    </cfRule>
    <cfRule type="expression" dxfId="4178" priority="14198">
      <formula>IF($B36="Quoting",TRUE,FALSE)</formula>
    </cfRule>
    <cfRule type="expression" dxfId="4177" priority="14199">
      <formula>IF($B36="Quoting",TRUE,FALSE)</formula>
    </cfRule>
    <cfRule type="expression" dxfId="4176" priority="14200">
      <formula>IF($B36="Quoting",TRUE,FALSE)</formula>
    </cfRule>
    <cfRule type="expression" dxfId="4175" priority="14201">
      <formula>IF($B36="Quoting",TRUE,FALSE)</formula>
    </cfRule>
    <cfRule type="expression" dxfId="4174" priority="14202">
      <formula>IF($B36="Quoting",TRUE,FALSE)</formula>
    </cfRule>
    <cfRule type="expression" dxfId="4173" priority="14203">
      <formula>IF($B36="Quoting",TRUE,FALSE)</formula>
    </cfRule>
    <cfRule type="expression" dxfId="4172" priority="14204">
      <formula>IF($B36="Quoting",TRUE,FALSE)</formula>
    </cfRule>
    <cfRule type="expression" dxfId="4171" priority="14205">
      <formula>IF($B36="Quoting",TRUE,FALSE)</formula>
    </cfRule>
    <cfRule type="expression" dxfId="4170" priority="14206">
      <formula>IF($B36="Quoting",TRUE,FALSE)</formula>
    </cfRule>
    <cfRule type="expression" dxfId="4169" priority="14207">
      <formula>IF($B36="Quoting",TRUE,FALSE)</formula>
    </cfRule>
    <cfRule type="expression" dxfId="4168" priority="14208">
      <formula>IF($B36="Quoting",TRUE,FALSE)</formula>
    </cfRule>
    <cfRule type="expression" dxfId="4167" priority="14209">
      <formula>IF($B36="Quoting",TRUE,FALSE)</formula>
    </cfRule>
    <cfRule type="expression" dxfId="4166" priority="14210">
      <formula>IF($B36="Quoting",TRUE,FALSE)</formula>
    </cfRule>
    <cfRule type="expression" dxfId="4165" priority="14211">
      <formula>IF($B36="Quoting",TRUE,FALSE)</formula>
    </cfRule>
    <cfRule type="expression" dxfId="4164" priority="14212">
      <formula>IF($B36="Quoting",TRUE,FALSE)</formula>
    </cfRule>
    <cfRule type="expression" dxfId="4163" priority="14213">
      <formula>IF($B36="Quoting",TRUE,FALSE)</formula>
    </cfRule>
    <cfRule type="expression" dxfId="4162" priority="14214">
      <formula>IF($B36="Quoting",TRUE,FALSE)</formula>
    </cfRule>
    <cfRule type="expression" dxfId="4161" priority="14215">
      <formula>IF($B36="Quoting",TRUE,FALSE)</formula>
    </cfRule>
    <cfRule type="expression" dxfId="4160" priority="14216">
      <formula>IF($B36="Quoting",TRUE,FALSE)</formula>
    </cfRule>
    <cfRule type="expression" dxfId="4159" priority="14217">
      <formula>IF($B36="Quoting",TRUE,FALSE)</formula>
    </cfRule>
    <cfRule type="expression" dxfId="4158" priority="14218">
      <formula>IF($B36="Quoting",TRUE,FALSE)</formula>
    </cfRule>
    <cfRule type="expression" dxfId="4157" priority="14219">
      <formula>IF($B36="Quoting",TRUE,FALSE)</formula>
    </cfRule>
    <cfRule type="expression" dxfId="4156" priority="14220">
      <formula>IF($B36="Quoting",TRUE,FALSE)</formula>
    </cfRule>
    <cfRule type="expression" dxfId="4155" priority="14221">
      <formula>IF($B36="Quoting",TRUE,FALSE)</formula>
    </cfRule>
    <cfRule type="expression" dxfId="4154" priority="14222">
      <formula>IF($B36="Quoting",TRUE,FALSE)</formula>
    </cfRule>
    <cfRule type="expression" dxfId="4153" priority="14223">
      <formula>IF($B36="Quoting",TRUE,FALSE)</formula>
    </cfRule>
    <cfRule type="expression" dxfId="4152" priority="14224">
      <formula>IF($B36="Quoting",TRUE,FALSE)</formula>
    </cfRule>
    <cfRule type="expression" dxfId="4151" priority="14225">
      <formula>IF($B36="Quoting",TRUE,FALSE)</formula>
    </cfRule>
    <cfRule type="expression" dxfId="4150" priority="14226">
      <formula>IF($B36="Quoting",TRUE,FALSE)</formula>
    </cfRule>
    <cfRule type="expression" dxfId="4149" priority="14227">
      <formula>IF($B36="Quoting",TRUE,FALSE)</formula>
    </cfRule>
    <cfRule type="expression" dxfId="4148" priority="14228">
      <formula>IF($B36="Quoting",TRUE,FALSE)</formula>
    </cfRule>
    <cfRule type="expression" dxfId="4147" priority="14229">
      <formula>IF($B36="Quoting",TRUE,FALSE)</formula>
    </cfRule>
    <cfRule type="expression" dxfId="4146" priority="14230">
      <formula>IF($B36="Quoting",TRUE,FALSE)</formula>
    </cfRule>
    <cfRule type="expression" dxfId="4145" priority="14231">
      <formula>IF($B36="Quoting",TRUE,FALSE)</formula>
    </cfRule>
    <cfRule type="expression" dxfId="4144" priority="14232">
      <formula>IF($B36="Quoting",TRUE,FALSE)</formula>
    </cfRule>
    <cfRule type="expression" dxfId="4143" priority="14233">
      <formula>IF($B36="Quoting",TRUE,FALSE)</formula>
    </cfRule>
    <cfRule type="expression" dxfId="4142" priority="14234">
      <formula>IF($B36="Quoting",TRUE,FALSE)</formula>
    </cfRule>
    <cfRule type="expression" dxfId="4141" priority="14235">
      <formula>IF($B36="Quoting",TRUE,FALSE)</formula>
    </cfRule>
    <cfRule type="expression" dxfId="4140" priority="14236">
      <formula>IF($B36="Quoting",TRUE,FALSE)</formula>
    </cfRule>
    <cfRule type="expression" dxfId="4139" priority="14237">
      <formula>IF($B36="Quoting",TRUE,FALSE)</formula>
    </cfRule>
    <cfRule type="expression" dxfId="4138" priority="14238">
      <formula>IF($B36="Quoting",TRUE,FALSE)</formula>
    </cfRule>
    <cfRule type="expression" dxfId="4137" priority="14239">
      <formula>IF($B36="Quoting",TRUE,FALSE)</formula>
    </cfRule>
    <cfRule type="expression" dxfId="4136" priority="14240">
      <formula>IF($B36="Quoting",TRUE,FALSE)</formula>
    </cfRule>
    <cfRule type="expression" dxfId="4135" priority="14241">
      <formula>IF($B36="Quoting",TRUE,FALSE)</formula>
    </cfRule>
    <cfRule type="expression" dxfId="4134" priority="14242">
      <formula>IF($B36="Quoting",TRUE,FALSE)</formula>
    </cfRule>
    <cfRule type="expression" dxfId="4133" priority="14243">
      <formula>IF($B36="Quoting",TRUE,FALSE)</formula>
    </cfRule>
    <cfRule type="expression" dxfId="4132" priority="14244">
      <formula>IF($B36="Quoting",TRUE,FALSE)</formula>
    </cfRule>
    <cfRule type="expression" dxfId="4131" priority="14245">
      <formula>IF($B36="Quoting",TRUE,FALSE)</formula>
    </cfRule>
    <cfRule type="expression" dxfId="4130" priority="14246">
      <formula>IF($B36="Quoting",TRUE,FALSE)</formula>
    </cfRule>
    <cfRule type="expression" dxfId="4129" priority="14247">
      <formula>IF($B36="Quoting",TRUE,FALSE)</formula>
    </cfRule>
    <cfRule type="expression" dxfId="4128" priority="14248">
      <formula>IF($B36="Quoting",TRUE,FALSE)</formula>
    </cfRule>
    <cfRule type="expression" dxfId="4127" priority="14249">
      <formula>IF($B36="Quoting",TRUE,FALSE)</formula>
    </cfRule>
    <cfRule type="expression" dxfId="4126" priority="14250">
      <formula>IF($B36="Quoting",TRUE,FALSE)</formula>
    </cfRule>
    <cfRule type="expression" dxfId="4125" priority="14251">
      <formula>IF($B36="Quoting",TRUE,FALSE)</formula>
    </cfRule>
    <cfRule type="expression" dxfId="4124" priority="14252">
      <formula>IF($B36="Quoting",TRUE,FALSE)</formula>
    </cfRule>
    <cfRule type="expression" dxfId="4123" priority="14253">
      <formula>IF($B36="Quoting",TRUE,FALSE)</formula>
    </cfRule>
    <cfRule type="expression" dxfId="4122" priority="14254">
      <formula>IF($B36="Quoting",TRUE,FALSE)</formula>
    </cfRule>
    <cfRule type="expression" dxfId="4121" priority="14255">
      <formula>IF($B36="Quoting",TRUE,FALSE)</formula>
    </cfRule>
    <cfRule type="expression" dxfId="4120" priority="14256">
      <formula>IF($B36="Quoting",TRUE,FALSE)</formula>
    </cfRule>
    <cfRule type="expression" dxfId="4119" priority="14257">
      <formula>IF($B36="Quoting",TRUE,FALSE)</formula>
    </cfRule>
    <cfRule type="expression" dxfId="4118" priority="14258">
      <formula>IF($B36="Quoting",TRUE,FALSE)</formula>
    </cfRule>
    <cfRule type="expression" dxfId="4117" priority="14259">
      <formula>IF($B36="Quoting",TRUE,FALSE)</formula>
    </cfRule>
    <cfRule type="expression" dxfId="4116" priority="14260">
      <formula>IF($B36="Quoting",TRUE,FALSE)</formula>
    </cfRule>
    <cfRule type="expression" dxfId="4115" priority="14261">
      <formula>IF($B36="Quoting",TRUE,FALSE)</formula>
    </cfRule>
    <cfRule type="expression" dxfId="4114" priority="14262">
      <formula>IF($B36="Quoting",TRUE,FALSE)</formula>
    </cfRule>
    <cfRule type="expression" dxfId="4113" priority="14263">
      <formula>IF($B36="Quoting",TRUE,FALSE)</formula>
    </cfRule>
    <cfRule type="expression" dxfId="4112" priority="14264">
      <formula>IF($B36="Quoting",TRUE,FALSE)</formula>
    </cfRule>
    <cfRule type="expression" dxfId="4111" priority="14265">
      <formula>IF($B36="Quoting",TRUE,FALSE)</formula>
    </cfRule>
    <cfRule type="expression" dxfId="4110" priority="14266">
      <formula>IF($B36="Quoting",TRUE,FALSE)</formula>
    </cfRule>
    <cfRule type="expression" dxfId="4109" priority="14267">
      <formula>IF($B36="Quoting",TRUE,FALSE)</formula>
    </cfRule>
    <cfRule type="expression" dxfId="4108" priority="14268">
      <formula>IF($B36="Quoting",TRUE,FALSE)</formula>
    </cfRule>
    <cfRule type="expression" dxfId="4107" priority="14269">
      <formula>IF($B36="Quoting",TRUE,FALSE)</formula>
    </cfRule>
    <cfRule type="expression" dxfId="4106" priority="14270">
      <formula>IF($B36="Quoting",TRUE,FALSE)</formula>
    </cfRule>
    <cfRule type="expression" dxfId="4105" priority="14271">
      <formula>IF($B36="Quoting",TRUE,FALSE)</formula>
    </cfRule>
    <cfRule type="expression" dxfId="4104" priority="14272">
      <formula>IF($B36="Quoting",TRUE,FALSE)</formula>
    </cfRule>
    <cfRule type="expression" dxfId="4103" priority="14273">
      <formula>IF($B36="Quoting",TRUE,FALSE)</formula>
    </cfRule>
    <cfRule type="expression" dxfId="4102" priority="14274">
      <formula>IF($B36="Quoting",TRUE,FALSE)</formula>
    </cfRule>
    <cfRule type="expression" dxfId="4101" priority="14275">
      <formula>IF($B36="Quoting",TRUE,FALSE)</formula>
    </cfRule>
    <cfRule type="expression" dxfId="4100" priority="14276">
      <formula>IF($B36="Quoting",TRUE,FALSE)</formula>
    </cfRule>
    <cfRule type="expression" dxfId="4099" priority="14277">
      <formula>IF($B36="Quoting",TRUE,FALSE)</formula>
    </cfRule>
    <cfRule type="expression" dxfId="4098" priority="14278">
      <formula>IF($B36="Quoting",TRUE,FALSE)</formula>
    </cfRule>
    <cfRule type="expression" dxfId="4097" priority="14279">
      <formula>IF($B36="Quoting",TRUE,FALSE)</formula>
    </cfRule>
    <cfRule type="expression" dxfId="4096" priority="14280">
      <formula>IF($B36="Quoting",TRUE,FALSE)</formula>
    </cfRule>
    <cfRule type="expression" dxfId="4095" priority="14281">
      <formula>IF($B36="Quoting",TRUE,FALSE)</formula>
    </cfRule>
    <cfRule type="expression" dxfId="4094" priority="14282">
      <formula>IF($B36="Quoting",TRUE,FALSE)</formula>
    </cfRule>
    <cfRule type="expression" dxfId="4093" priority="14283">
      <formula>IF($B36="Quoting",TRUE,FALSE)</formula>
    </cfRule>
    <cfRule type="expression" dxfId="4092" priority="14284">
      <formula>IF($B36="Quoting",TRUE,FALSE)</formula>
    </cfRule>
    <cfRule type="expression" dxfId="4091" priority="14285">
      <formula>IF($B36="Quoting",TRUE,FALSE)</formula>
    </cfRule>
    <cfRule type="expression" dxfId="4090" priority="14286">
      <formula>IF($B36="Quoting",TRUE,FALSE)</formula>
    </cfRule>
    <cfRule type="expression" dxfId="4089" priority="14287">
      <formula>IF($B36="Quoting",TRUE,FALSE)</formula>
    </cfRule>
    <cfRule type="expression" dxfId="4088" priority="14288">
      <formula>IF($B36="Quoting",TRUE,FALSE)</formula>
    </cfRule>
    <cfRule type="expression" dxfId="4087" priority="14289">
      <formula>IF($B36="Quoting",TRUE,FALSE)</formula>
    </cfRule>
    <cfRule type="expression" dxfId="4086" priority="14290">
      <formula>IF($B36="Quoting",TRUE,FALSE)</formula>
    </cfRule>
    <cfRule type="expression" dxfId="4085" priority="14291">
      <formula>IF($B36="Quoting",TRUE,FALSE)</formula>
    </cfRule>
    <cfRule type="expression" dxfId="4084" priority="14292">
      <formula>IF($B36="Quoting",TRUE,FALSE)</formula>
    </cfRule>
    <cfRule type="expression" dxfId="4083" priority="14293">
      <formula>IF($B36="Quoting",TRUE,FALSE)</formula>
    </cfRule>
    <cfRule type="expression" dxfId="4082" priority="14294">
      <formula>IF($B36="Quoting",TRUE,FALSE)</formula>
    </cfRule>
    <cfRule type="expression" dxfId="4081" priority="14295">
      <formula>IF($B36="Quoting",TRUE,FALSE)</formula>
    </cfRule>
    <cfRule type="expression" dxfId="4080" priority="14296">
      <formula>IF($B36="Quoting",TRUE,FALSE)</formula>
    </cfRule>
    <cfRule type="expression" dxfId="4079" priority="14297">
      <formula>IF($B36="Quoting",TRUE,FALSE)</formula>
    </cfRule>
    <cfRule type="expression" dxfId="4078" priority="14298">
      <formula>IF($B36="Quoting",TRUE,FALSE)</formula>
    </cfRule>
    <cfRule type="expression" dxfId="4077" priority="14299">
      <formula>IF($B36="Quoting",TRUE,FALSE)</formula>
    </cfRule>
    <cfRule type="expression" dxfId="4076" priority="14300">
      <formula>IF($B36="Quoting",TRUE,FALSE)</formula>
    </cfRule>
    <cfRule type="expression" dxfId="4075" priority="14301">
      <formula>IF($B36="Quoting",TRUE,FALSE)</formula>
    </cfRule>
    <cfRule type="expression" dxfId="4074" priority="14302">
      <formula>IF($B36="Quoting",TRUE,FALSE)</formula>
    </cfRule>
    <cfRule type="expression" dxfId="4073" priority="14303">
      <formula>IF($B36="Quoting",TRUE,FALSE)</formula>
    </cfRule>
    <cfRule type="expression" dxfId="4072" priority="14304">
      <formula>IF($B36="Quoting",TRUE,FALSE)</formula>
    </cfRule>
    <cfRule type="expression" dxfId="4071" priority="14305">
      <formula>IF($B36="Quoting",TRUE,FALSE)</formula>
    </cfRule>
    <cfRule type="expression" dxfId="4070" priority="14306">
      <formula>IF($B36="Quoting",TRUE,FALSE)</formula>
    </cfRule>
    <cfRule type="expression" dxfId="4069" priority="14307">
      <formula>IF($B36="Quoting",TRUE,FALSE)</formula>
    </cfRule>
    <cfRule type="expression" dxfId="4068" priority="14308">
      <formula>IF($B36="Quoting",TRUE,FALSE)</formula>
    </cfRule>
    <cfRule type="expression" dxfId="4067" priority="14309">
      <formula>IF($B36="Quoting",TRUE,FALSE)</formula>
    </cfRule>
    <cfRule type="expression" dxfId="4066" priority="14310">
      <formula>IF($B36="Quoting",TRUE,FALSE)</formula>
    </cfRule>
    <cfRule type="expression" dxfId="4065" priority="14311">
      <formula>IF($B36="Quoting",TRUE,FALSE)</formula>
    </cfRule>
    <cfRule type="expression" dxfId="4064" priority="14312">
      <formula>IF($B36="Quoting",TRUE,FALSE)</formula>
    </cfRule>
    <cfRule type="expression" dxfId="4063" priority="14313">
      <formula>IF($B36="Quoting",TRUE,FALSE)</formula>
    </cfRule>
    <cfRule type="expression" dxfId="4062" priority="14314">
      <formula>IF($B36="Quoting",TRUE,FALSE)</formula>
    </cfRule>
    <cfRule type="expression" dxfId="4061" priority="14315">
      <formula>IF($B36="Quoting",TRUE,FALSE)</formula>
    </cfRule>
    <cfRule type="expression" dxfId="4060" priority="14316">
      <formula>IF($B36="Quoting",TRUE,FALSE)</formula>
    </cfRule>
    <cfRule type="expression" dxfId="4059" priority="14317">
      <formula>IF($B36="Quoting",TRUE,FALSE)</formula>
    </cfRule>
    <cfRule type="expression" dxfId="4058" priority="14318">
      <formula>IF($B36="Quoting",TRUE,FALSE)</formula>
    </cfRule>
    <cfRule type="expression" dxfId="4057" priority="14319">
      <formula>IF($B36="Quoting",TRUE,FALSE)</formula>
    </cfRule>
    <cfRule type="expression" dxfId="4056" priority="14320">
      <formula>IF($B36="Quoting",TRUE,FALSE)</formula>
    </cfRule>
    <cfRule type="expression" dxfId="4055" priority="14321">
      <formula>IF($B36="Quoting",TRUE,FALSE)</formula>
    </cfRule>
    <cfRule type="expression" dxfId="4054" priority="14322">
      <formula>IF($B36="Quoting",TRUE,FALSE)</formula>
    </cfRule>
    <cfRule type="expression" dxfId="4053" priority="14323">
      <formula>IF($B36="Quoting",TRUE,FALSE)</formula>
    </cfRule>
    <cfRule type="expression" dxfId="4052" priority="14324">
      <formula>IF($B36="Quoting",TRUE,FALSE)</formula>
    </cfRule>
    <cfRule type="expression" dxfId="4051" priority="14325">
      <formula>IF($B36="Quoting",TRUE,FALSE)</formula>
    </cfRule>
    <cfRule type="expression" dxfId="4050" priority="14326">
      <formula>IF($B36="Quoting",TRUE,FALSE)</formula>
    </cfRule>
    <cfRule type="expression" dxfId="4049" priority="14327">
      <formula>IF($B36="Quoting",TRUE,FALSE)</formula>
    </cfRule>
    <cfRule type="expression" dxfId="4048" priority="14328">
      <formula>IF($B36="Quoting",TRUE,FALSE)</formula>
    </cfRule>
    <cfRule type="expression" dxfId="4047" priority="14329">
      <formula>IF($B36="Quoting",TRUE,FALSE)</formula>
    </cfRule>
    <cfRule type="expression" dxfId="4046" priority="14330">
      <formula>IF($B36="Quoting",TRUE,FALSE)</formula>
    </cfRule>
    <cfRule type="expression" dxfId="4045" priority="14331">
      <formula>IF($B36="Quoting",TRUE,FALSE)</formula>
    </cfRule>
    <cfRule type="expression" dxfId="4044" priority="14332">
      <formula>IF($B36="Quoting",TRUE,FALSE)</formula>
    </cfRule>
    <cfRule type="expression" dxfId="4043" priority="14333">
      <formula>IF($B36="Quoting",TRUE,FALSE)</formula>
    </cfRule>
    <cfRule type="expression" dxfId="4042" priority="14334">
      <formula>IF($B36="Quoting",TRUE,FALSE)</formula>
    </cfRule>
    <cfRule type="expression" dxfId="4041" priority="14335">
      <formula>IF($B36="Quoting",TRUE,FALSE)</formula>
    </cfRule>
    <cfRule type="expression" dxfId="4040" priority="14336">
      <formula>IF($B36="Quoting",TRUE,FALSE)</formula>
    </cfRule>
    <cfRule type="expression" dxfId="4039" priority="14337">
      <formula>IF($B36="Quoting",TRUE,FALSE)</formula>
    </cfRule>
    <cfRule type="expression" dxfId="4038" priority="14338">
      <formula>IF($B36="Quoting",TRUE,FALSE)</formula>
    </cfRule>
    <cfRule type="expression" dxfId="4037" priority="14339">
      <formula>IF($B36="Quoting",TRUE,FALSE)</formula>
    </cfRule>
    <cfRule type="expression" dxfId="4036" priority="14340">
      <formula>IF($B36="Quoting",TRUE,FALSE)</formula>
    </cfRule>
    <cfRule type="expression" dxfId="4035" priority="14341">
      <formula>IF($B36="Quoting",TRUE,FALSE)</formula>
    </cfRule>
    <cfRule type="expression" dxfId="4034" priority="14342">
      <formula>IF($B36="Quoting",TRUE,FALSE)</formula>
    </cfRule>
    <cfRule type="expression" dxfId="4033" priority="14343">
      <formula>IF($B36="Quoting",TRUE,FALSE)</formula>
    </cfRule>
    <cfRule type="expression" dxfId="4032" priority="14344">
      <formula>IF($B36="Quoting",TRUE,FALSE)</formula>
    </cfRule>
    <cfRule type="expression" dxfId="4031" priority="14345">
      <formula>IF($B36="Quoting",TRUE,FALSE)</formula>
    </cfRule>
    <cfRule type="expression" dxfId="4030" priority="14346">
      <formula>IF($B36="Quoting",TRUE,FALSE)</formula>
    </cfRule>
    <cfRule type="expression" dxfId="4029" priority="14347">
      <formula>IF($B36="Quoting",TRUE,FALSE)</formula>
    </cfRule>
    <cfRule type="expression" dxfId="4028" priority="14348">
      <formula>IF($B36="Quoting",TRUE,FALSE)</formula>
    </cfRule>
    <cfRule type="expression" dxfId="4027" priority="14349">
      <formula>IF($B36="Quoting",TRUE,FALSE)</formula>
    </cfRule>
    <cfRule type="expression" dxfId="4026" priority="14350">
      <formula>IF($B36="Quoting",TRUE,FALSE)</formula>
    </cfRule>
    <cfRule type="expression" dxfId="4025" priority="14351">
      <formula>IF($B36="Quoting",TRUE,FALSE)</formula>
    </cfRule>
    <cfRule type="expression" dxfId="4024" priority="14352">
      <formula>IF($B36="Quoting",TRUE,FALSE)</formula>
    </cfRule>
    <cfRule type="expression" dxfId="4023" priority="14353">
      <formula>IF($B36="Quoting",TRUE,FALSE)</formula>
    </cfRule>
    <cfRule type="expression" dxfId="4022" priority="14354">
      <formula>IF($B36="Quoting",TRUE,FALSE)</formula>
    </cfRule>
    <cfRule type="expression" dxfId="4021" priority="14355">
      <formula>IF($B36="Quoting",TRUE,FALSE)</formula>
    </cfRule>
    <cfRule type="expression" dxfId="4020" priority="14356">
      <formula>IF($B36="Quoting",TRUE,FALSE)</formula>
    </cfRule>
    <cfRule type="expression" dxfId="4019" priority="14357">
      <formula>IF($B36="Quoting",TRUE,FALSE)</formula>
    </cfRule>
    <cfRule type="expression" dxfId="4018" priority="14358">
      <formula>IF($B36="Quoting",TRUE,FALSE)</formula>
    </cfRule>
    <cfRule type="expression" dxfId="4017" priority="14359">
      <formula>IF($B36="Quoting",TRUE,FALSE)</formula>
    </cfRule>
    <cfRule type="expression" dxfId="4016" priority="14360">
      <formula>IF($B36="Quoting",TRUE,FALSE)</formula>
    </cfRule>
    <cfRule type="expression" dxfId="4015" priority="14361">
      <formula>IF($B36="Quoting",TRUE,FALSE)</formula>
    </cfRule>
    <cfRule type="expression" dxfId="4014" priority="14362">
      <formula>IF($B36="Quoting",TRUE,FALSE)</formula>
    </cfRule>
    <cfRule type="expression" dxfId="4013" priority="14363">
      <formula>IF($B36="Quoting",TRUE,FALSE)</formula>
    </cfRule>
    <cfRule type="expression" dxfId="4012" priority="14364">
      <formula>IF($B36="Quoting",TRUE,FALSE)</formula>
    </cfRule>
    <cfRule type="expression" dxfId="4011" priority="14365">
      <formula>IF($B36="Quoting",TRUE,FALSE)</formula>
    </cfRule>
    <cfRule type="expression" dxfId="4010" priority="14366">
      <formula>IF($B36="Quoting",TRUE,FALSE)</formula>
    </cfRule>
    <cfRule type="expression" dxfId="4009" priority="14367">
      <formula>IF($B36="Quoting",TRUE,FALSE)</formula>
    </cfRule>
    <cfRule type="expression" dxfId="4008" priority="14368">
      <formula>IF($B36="Quoting",TRUE,FALSE)</formula>
    </cfRule>
    <cfRule type="expression" dxfId="4007" priority="14369">
      <formula>IF($B36="Quoting",TRUE,FALSE)</formula>
    </cfRule>
    <cfRule type="expression" dxfId="4006" priority="14370">
      <formula>IF($B36="Quoting",TRUE,FALSE)</formula>
    </cfRule>
    <cfRule type="expression" dxfId="4005" priority="14371">
      <formula>IF($B36="Quoting",TRUE,FALSE)</formula>
    </cfRule>
    <cfRule type="expression" dxfId="4004" priority="14372">
      <formula>IF($B36="Quoting",TRUE,FALSE)</formula>
    </cfRule>
    <cfRule type="expression" dxfId="4003" priority="14373">
      <formula>IF($B36="Quoting",TRUE,FALSE)</formula>
    </cfRule>
    <cfRule type="expression" dxfId="4002" priority="14374">
      <formula>IF($B36="Quoting",TRUE,FALSE)</formula>
    </cfRule>
    <cfRule type="expression" dxfId="4001" priority="14375">
      <formula>IF($B36="Quoting",TRUE,FALSE)</formula>
    </cfRule>
    <cfRule type="expression" dxfId="4000" priority="14376">
      <formula>IF($B36="Quoting",TRUE,FALSE)</formula>
    </cfRule>
    <cfRule type="expression" dxfId="3999" priority="14377">
      <formula>IF($B36="Quoting",TRUE,FALSE)</formula>
    </cfRule>
    <cfRule type="expression" dxfId="3998" priority="14378">
      <formula>IF($B36="Quoting",TRUE,FALSE)</formula>
    </cfRule>
    <cfRule type="expression" dxfId="3997" priority="14379">
      <formula>IF($B36="Quoting",TRUE,FALSE)</formula>
    </cfRule>
    <cfRule type="expression" dxfId="3996" priority="14380">
      <formula>IF($B36="Quoting",TRUE,FALSE)</formula>
    </cfRule>
    <cfRule type="expression" dxfId="3995" priority="14381">
      <formula>IF($B36="Quoting",TRUE,FALSE)</formula>
    </cfRule>
    <cfRule type="expression" dxfId="3994" priority="14382">
      <formula>IF($B36="Quoting",TRUE,FALSE)</formula>
    </cfRule>
    <cfRule type="expression" dxfId="3993" priority="14383">
      <formula>IF($B36="Quoting",TRUE,FALSE)</formula>
    </cfRule>
    <cfRule type="expression" dxfId="3992" priority="14384">
      <formula>IF($B36="Quoting",TRUE,FALSE)</formula>
    </cfRule>
    <cfRule type="expression" dxfId="3991" priority="14385">
      <formula>IF($B36="Quoting",TRUE,FALSE)</formula>
    </cfRule>
    <cfRule type="expression" dxfId="3990" priority="14386">
      <formula>IF($B36="Quoting",TRUE,FALSE)</formula>
    </cfRule>
    <cfRule type="expression" dxfId="3989" priority="14387">
      <formula>IF($B36="Quoting",TRUE,FALSE)</formula>
    </cfRule>
    <cfRule type="expression" dxfId="3988" priority="14388">
      <formula>IF($B36="Quoting",TRUE,FALSE)</formula>
    </cfRule>
    <cfRule type="expression" dxfId="3987" priority="14389">
      <formula>IF($B36="Quoting",TRUE,FALSE)</formula>
    </cfRule>
    <cfRule type="expression" dxfId="3986" priority="14390">
      <formula>IF($B36="Quoting",TRUE,FALSE)</formula>
    </cfRule>
    <cfRule type="expression" dxfId="3985" priority="14391">
      <formula>IF($B36="Quoting",TRUE,FALSE)</formula>
    </cfRule>
    <cfRule type="expression" dxfId="3984" priority="14392">
      <formula>IF($B36="Quoting",TRUE,FALSE)</formula>
    </cfRule>
    <cfRule type="expression" dxfId="3983" priority="14393">
      <formula>IF($B36="Quoting",TRUE,FALSE)</formula>
    </cfRule>
    <cfRule type="expression" dxfId="3982" priority="14394">
      <formula>IF($B36="Quoting",TRUE,FALSE)</formula>
    </cfRule>
    <cfRule type="expression" dxfId="3981" priority="14395">
      <formula>IF($B36="Quoting",TRUE,FALSE)</formula>
    </cfRule>
    <cfRule type="expression" dxfId="3980" priority="14396">
      <formula>IF($B36="Quoting",TRUE,FALSE)</formula>
    </cfRule>
    <cfRule type="expression" dxfId="3979" priority="14397">
      <formula>IF($B36="Quoting",TRUE,FALSE)</formula>
    </cfRule>
    <cfRule type="expression" dxfId="3978" priority="14398">
      <formula>IF($B36="Quoting",TRUE,FALSE)</formula>
    </cfRule>
    <cfRule type="expression" dxfId="3977" priority="14399">
      <formula>IF($B36="Quoting",TRUE,FALSE)</formula>
    </cfRule>
    <cfRule type="expression" dxfId="3976" priority="14400">
      <formula>IF($B36="Quoting",TRUE,FALSE)</formula>
    </cfRule>
    <cfRule type="expression" dxfId="3975" priority="14401">
      <formula>IF($B36="Quoting",TRUE,FALSE)</formula>
    </cfRule>
    <cfRule type="expression" dxfId="3974" priority="14402">
      <formula>IF($B36="Quoting",TRUE,FALSE)</formula>
    </cfRule>
    <cfRule type="expression" dxfId="3973" priority="14403">
      <formula>IF($B36="Quoting",TRUE,FALSE)</formula>
    </cfRule>
    <cfRule type="expression" dxfId="3972" priority="14404">
      <formula>IF($B36="Quoting",TRUE,FALSE)</formula>
    </cfRule>
    <cfRule type="expression" dxfId="3971" priority="14405">
      <formula>IF($B36="Quoting",TRUE,FALSE)</formula>
    </cfRule>
    <cfRule type="expression" dxfId="3970" priority="14406">
      <formula>IF($B36="Quoting",TRUE,FALSE)</formula>
    </cfRule>
    <cfRule type="expression" dxfId="3969" priority="14407">
      <formula>IF($B36="Quoting",TRUE,FALSE)</formula>
    </cfRule>
    <cfRule type="expression" dxfId="3968" priority="14408">
      <formula>IF($B36="Quoting",TRUE,FALSE)</formula>
    </cfRule>
    <cfRule type="expression" dxfId="3967" priority="14409">
      <formula>IF($B36="Quoting",TRUE,FALSE)</formula>
    </cfRule>
    <cfRule type="expression" dxfId="3966" priority="14410">
      <formula>IF($B36="Quoting",TRUE,FALSE)</formula>
    </cfRule>
    <cfRule type="expression" dxfId="3965" priority="14411">
      <formula>IF($B36="Quoting",TRUE,FALSE)</formula>
    </cfRule>
    <cfRule type="expression" dxfId="3964" priority="14412">
      <formula>IF($B36="Quoting",TRUE,FALSE)</formula>
    </cfRule>
    <cfRule type="expression" dxfId="3963" priority="14413">
      <formula>IF($B36="Quoting",TRUE,FALSE)</formula>
    </cfRule>
    <cfRule type="expression" dxfId="3962" priority="14414">
      <formula>IF($B36="Quoting",TRUE,FALSE)</formula>
    </cfRule>
    <cfRule type="expression" dxfId="3961" priority="14415">
      <formula>IF($B36="Quoting",TRUE,FALSE)</formula>
    </cfRule>
    <cfRule type="expression" dxfId="3960" priority="14416">
      <formula>IF($B36="Quoting",TRUE,FALSE)</formula>
    </cfRule>
    <cfRule type="expression" dxfId="3959" priority="14417">
      <formula>IF($B36="Quoting",TRUE,FALSE)</formula>
    </cfRule>
    <cfRule type="expression" dxfId="3958" priority="14418">
      <formula>IF($B36="Quoting",TRUE,FALSE)</formula>
    </cfRule>
    <cfRule type="expression" dxfId="3957" priority="14419">
      <formula>IF($B36="Quoting",TRUE,FALSE)</formula>
    </cfRule>
    <cfRule type="expression" dxfId="3956" priority="14420">
      <formula>IF($B36="Quoting",TRUE,FALSE)</formula>
    </cfRule>
    <cfRule type="expression" dxfId="3955" priority="14421">
      <formula>IF($B36="Quoting",TRUE,FALSE)</formula>
    </cfRule>
    <cfRule type="expression" dxfId="3954" priority="14422">
      <formula>IF($B36="Quoting",TRUE,FALSE)</formula>
    </cfRule>
    <cfRule type="expression" dxfId="3953" priority="14423">
      <formula>IF($B36="Quoting",TRUE,FALSE)</formula>
    </cfRule>
    <cfRule type="expression" dxfId="3952" priority="14424">
      <formula>IF($B36="Quoting",TRUE,FALSE)</formula>
    </cfRule>
    <cfRule type="expression" dxfId="3951" priority="14425">
      <formula>IF($B36="Quoting",TRUE,FALSE)</formula>
    </cfRule>
    <cfRule type="expression" dxfId="3950" priority="14426">
      <formula>IF($B36="Quoting",TRUE,FALSE)</formula>
    </cfRule>
    <cfRule type="expression" dxfId="3949" priority="14427">
      <formula>IF($B36="Quoting",TRUE,FALSE)</formula>
    </cfRule>
    <cfRule type="expression" dxfId="3948" priority="14428">
      <formula>IF($B36="Quoting",TRUE,FALSE)</formula>
    </cfRule>
    <cfRule type="expression" dxfId="3947" priority="14429">
      <formula>IF($B36="Quoting",TRUE,FALSE)</formula>
    </cfRule>
    <cfRule type="expression" dxfId="3946" priority="14430">
      <formula>IF($B36="Quoting",TRUE,FALSE)</formula>
    </cfRule>
    <cfRule type="expression" dxfId="3945" priority="14431">
      <formula>IF($B36="Quoting",TRUE,FALSE)</formula>
    </cfRule>
    <cfRule type="expression" dxfId="3944" priority="14432">
      <formula>IF($B36="Quoting",TRUE,FALSE)</formula>
    </cfRule>
    <cfRule type="expression" dxfId="3943" priority="14433">
      <formula>IF($B36="Quoting",TRUE,FALSE)</formula>
    </cfRule>
    <cfRule type="expression" dxfId="3942" priority="14434">
      <formula>IF($B36="Quoting",TRUE,FALSE)</formula>
    </cfRule>
    <cfRule type="expression" dxfId="3941" priority="14435">
      <formula>IF($B36="Quoting",TRUE,FALSE)</formula>
    </cfRule>
    <cfRule type="expression" dxfId="3940" priority="14436">
      <formula>IF($B36="Quoting",TRUE,FALSE)</formula>
    </cfRule>
    <cfRule type="expression" dxfId="3939" priority="14437">
      <formula>IF($B36="Quoting",TRUE,FALSE)</formula>
    </cfRule>
    <cfRule type="expression" dxfId="3938" priority="14438">
      <formula>IF($B36="Quoting",TRUE,FALSE)</formula>
    </cfRule>
    <cfRule type="expression" dxfId="3937" priority="14439">
      <formula>IF($B36="Quoting",TRUE,FALSE)</formula>
    </cfRule>
    <cfRule type="expression" dxfId="3936" priority="14440">
      <formula>IF($B36="Quoting",TRUE,FALSE)</formula>
    </cfRule>
    <cfRule type="expression" dxfId="3935" priority="14441">
      <formula>IF($B36="Quoting",TRUE,FALSE)</formula>
    </cfRule>
    <cfRule type="expression" dxfId="3934" priority="14442">
      <formula>IF($B36="Quoting",TRUE,FALSE)</formula>
    </cfRule>
    <cfRule type="expression" dxfId="3933" priority="14443">
      <formula>IF($B36="Quoting",TRUE,FALSE)</formula>
    </cfRule>
    <cfRule type="expression" dxfId="3932" priority="14444">
      <formula>IF($B36="Quoting",TRUE,FALSE)</formula>
    </cfRule>
    <cfRule type="expression" dxfId="3931" priority="14445">
      <formula>IF($B36="Quoting",TRUE,FALSE)</formula>
    </cfRule>
    <cfRule type="expression" dxfId="3930" priority="14446">
      <formula>IF($B36="Quoting",TRUE,FALSE)</formula>
    </cfRule>
    <cfRule type="expression" dxfId="3929" priority="14447">
      <formula>IF($B36="Quoting",TRUE,FALSE)</formula>
    </cfRule>
    <cfRule type="expression" dxfId="3928" priority="14448">
      <formula>IF($B36="Quoting",TRUE,FALSE)</formula>
    </cfRule>
    <cfRule type="expression" dxfId="3927" priority="14449">
      <formula>IF($B36="Quoting",TRUE,FALSE)</formula>
    </cfRule>
    <cfRule type="expression" dxfId="3926" priority="14450">
      <formula>IF($B36="Quoting",TRUE,FALSE)</formula>
    </cfRule>
    <cfRule type="expression" dxfId="3925" priority="14451">
      <formula>IF($B36="Quoting",TRUE,FALSE)</formula>
    </cfRule>
    <cfRule type="expression" dxfId="3924" priority="14452">
      <formula>IF($B36="Quoting",TRUE,FALSE)</formula>
    </cfRule>
    <cfRule type="expression" dxfId="3923" priority="14453">
      <formula>IF($B36="Quoting",TRUE,FALSE)</formula>
    </cfRule>
    <cfRule type="expression" dxfId="3922" priority="14454">
      <formula>IF($B36="Quoting",TRUE,FALSE)</formula>
    </cfRule>
    <cfRule type="expression" dxfId="3921" priority="14455">
      <formula>IF($B36="Quoting",TRUE,FALSE)</formula>
    </cfRule>
    <cfRule type="expression" dxfId="3920" priority="14456">
      <formula>IF($B36="Quoting",TRUE,FALSE)</formula>
    </cfRule>
    <cfRule type="expression" dxfId="3919" priority="14457">
      <formula>IF($B36="Quoting",TRUE,FALSE)</formula>
    </cfRule>
    <cfRule type="expression" dxfId="3918" priority="14458">
      <formula>IF($B36="Quoting",TRUE,FALSE)</formula>
    </cfRule>
    <cfRule type="expression" dxfId="3917" priority="14459">
      <formula>IF($B36="Quoting",TRUE,FALSE)</formula>
    </cfRule>
    <cfRule type="expression" dxfId="3916" priority="14460">
      <formula>IF($B36="Quoting",TRUE,FALSE)</formula>
    </cfRule>
    <cfRule type="expression" dxfId="3915" priority="14461">
      <formula>IF($B36="Quoting",TRUE,FALSE)</formula>
    </cfRule>
    <cfRule type="expression" dxfId="3914" priority="14462">
      <formula>IF($B36="Quoting",TRUE,FALSE)</formula>
    </cfRule>
    <cfRule type="expression" dxfId="3913" priority="14463">
      <formula>IF($B36="Quoting",TRUE,FALSE)</formula>
    </cfRule>
    <cfRule type="expression" dxfId="3912" priority="14464">
      <formula>IF($B36="Quoting",TRUE,FALSE)</formula>
    </cfRule>
    <cfRule type="expression" dxfId="3911" priority="14465">
      <formula>IF($B36="Quoting",TRUE,FALSE)</formula>
    </cfRule>
    <cfRule type="expression" dxfId="3910" priority="14466">
      <formula>IF($B36="Quoting",TRUE,FALSE)</formula>
    </cfRule>
    <cfRule type="expression" dxfId="3909" priority="14467">
      <formula>IF($B36="Quoting",TRUE,FALSE)</formula>
    </cfRule>
    <cfRule type="expression" dxfId="3908" priority="14468">
      <formula>IF($B36="Quoting",TRUE,FALSE)</formula>
    </cfRule>
    <cfRule type="expression" dxfId="3907" priority="14469">
      <formula>IF($B36="Quoting",TRUE,FALSE)</formula>
    </cfRule>
    <cfRule type="expression" dxfId="3906" priority="14470">
      <formula>IF($B36="Quoting",TRUE,FALSE)</formula>
    </cfRule>
    <cfRule type="expression" dxfId="3905" priority="14471">
      <formula>IF($B36="Quoting",TRUE,FALSE)</formula>
    </cfRule>
    <cfRule type="expression" dxfId="3904" priority="14472">
      <formula>IF($B36="Quoting",TRUE,FALSE)</formula>
    </cfRule>
    <cfRule type="expression" dxfId="3903" priority="14473">
      <formula>IF($B36="Quoting",TRUE,FALSE)</formula>
    </cfRule>
    <cfRule type="expression" dxfId="3902" priority="14474">
      <formula>IF($B36="Quoting",TRUE,FALSE)</formula>
    </cfRule>
    <cfRule type="expression" dxfId="3901" priority="14475">
      <formula>IF($B36="Quoting",TRUE,FALSE)</formula>
    </cfRule>
    <cfRule type="expression" dxfId="3900" priority="14476">
      <formula>IF($B36="Quoting",TRUE,FALSE)</formula>
    </cfRule>
    <cfRule type="expression" dxfId="3899" priority="14477">
      <formula>IF($B36="Quoting",TRUE,FALSE)</formula>
    </cfRule>
    <cfRule type="expression" dxfId="3898" priority="14478">
      <formula>IF($B36="Quoting",TRUE,FALSE)</formula>
    </cfRule>
    <cfRule type="expression" dxfId="3897" priority="14479">
      <formula>IF($B36="Quoting",TRUE,FALSE)</formula>
    </cfRule>
    <cfRule type="expression" dxfId="3896" priority="14480">
      <formula>IF($B36="Quoting",TRUE,FALSE)</formula>
    </cfRule>
    <cfRule type="expression" dxfId="3895" priority="14481">
      <formula>IF($B36="Quoting",TRUE,FALSE)</formula>
    </cfRule>
    <cfRule type="expression" dxfId="3894" priority="14482">
      <formula>IF($B36="Quoting",TRUE,FALSE)</formula>
    </cfRule>
    <cfRule type="expression" dxfId="3893" priority="14483">
      <formula>IF($B36="Quoting",TRUE,FALSE)</formula>
    </cfRule>
    <cfRule type="expression" dxfId="3892" priority="14484">
      <formula>IF($B36="Quoting",TRUE,FALSE)</formula>
    </cfRule>
    <cfRule type="expression" dxfId="3891" priority="14485">
      <formula>IF($B36="Quoting",TRUE,FALSE)</formula>
    </cfRule>
    <cfRule type="expression" dxfId="3890" priority="14486">
      <formula>IF($B36="Quoting",TRUE,FALSE)</formula>
    </cfRule>
    <cfRule type="expression" dxfId="3889" priority="14487">
      <formula>IF($B36="Quoting",TRUE,FALSE)</formula>
    </cfRule>
    <cfRule type="expression" dxfId="3888" priority="14488">
      <formula>IF($B36="Quoting",TRUE,FALSE)</formula>
    </cfRule>
    <cfRule type="expression" dxfId="3887" priority="14489">
      <formula>IF($B36="Quoting",TRUE,FALSE)</formula>
    </cfRule>
    <cfRule type="expression" dxfId="3886" priority="14490">
      <formula>IF($B36="Quoting",TRUE,FALSE)</formula>
    </cfRule>
    <cfRule type="expression" dxfId="3885" priority="14491">
      <formula>IF($B36="Quoting",TRUE,FALSE)</formula>
    </cfRule>
    <cfRule type="expression" dxfId="3884" priority="14492">
      <formula>IF($B36="Quoting",TRUE,FALSE)</formula>
    </cfRule>
    <cfRule type="expression" dxfId="3883" priority="14493">
      <formula>IF($B36="Quoting",TRUE,FALSE)</formula>
    </cfRule>
    <cfRule type="expression" dxfId="3882" priority="14494">
      <formula>IF($B36="Quoting",TRUE,FALSE)</formula>
    </cfRule>
    <cfRule type="expression" dxfId="3881" priority="14495">
      <formula>IF($B36="Quoting",TRUE,FALSE)</formula>
    </cfRule>
    <cfRule type="expression" dxfId="3880" priority="14496">
      <formula>IF($B36="Quoting",TRUE,FALSE)</formula>
    </cfRule>
    <cfRule type="expression" dxfId="3879" priority="14497">
      <formula>IF($B36="Quoting",TRUE,FALSE)</formula>
    </cfRule>
    <cfRule type="expression" dxfId="3878" priority="14498">
      <formula>IF($B36="Quoting",TRUE,FALSE)</formula>
    </cfRule>
    <cfRule type="expression" dxfId="3877" priority="14499">
      <formula>IF($B36="Quoting",TRUE,FALSE)</formula>
    </cfRule>
    <cfRule type="expression" dxfId="3876" priority="14500">
      <formula>IF($B36="Quoting",TRUE,FALSE)</formula>
    </cfRule>
    <cfRule type="expression" dxfId="3875" priority="14501">
      <formula>IF($B36="Quoting",TRUE,FALSE)</formula>
    </cfRule>
    <cfRule type="expression" dxfId="3874" priority="14502">
      <formula>IF($B36="Quoting",TRUE,FALSE)</formula>
    </cfRule>
    <cfRule type="expression" dxfId="3873" priority="14503">
      <formula>IF($B36="Quoting",TRUE,FALSE)</formula>
    </cfRule>
    <cfRule type="expression" dxfId="3872" priority="14504">
      <formula>IF($B36="Quoting",TRUE,FALSE)</formula>
    </cfRule>
    <cfRule type="expression" dxfId="3871" priority="14505">
      <formula>IF($B36="Quoting",TRUE,FALSE)</formula>
    </cfRule>
    <cfRule type="expression" dxfId="3870" priority="14506">
      <formula>IF($B36="Quoting",TRUE,FALSE)</formula>
    </cfRule>
    <cfRule type="expression" dxfId="3869" priority="14507">
      <formula>IF($B36="Quoting",TRUE,FALSE)</formula>
    </cfRule>
    <cfRule type="expression" dxfId="3868" priority="14508">
      <formula>IF($B36="Quoting",TRUE,FALSE)</formula>
    </cfRule>
    <cfRule type="expression" dxfId="3867" priority="14509">
      <formula>IF($B36="Quoting",TRUE,FALSE)</formula>
    </cfRule>
    <cfRule type="expression" dxfId="3866" priority="14510">
      <formula>IF($B36="Quoting",TRUE,FALSE)</formula>
    </cfRule>
    <cfRule type="expression" dxfId="3865" priority="14511">
      <formula>IF($B36="Quoting",TRUE,FALSE)</formula>
    </cfRule>
    <cfRule type="expression" dxfId="3864" priority="14512">
      <formula>IF($B36="Quoting",TRUE,FALSE)</formula>
    </cfRule>
    <cfRule type="expression" dxfId="3863" priority="14513">
      <formula>IF($B36="Quoting",TRUE,FALSE)</formula>
    </cfRule>
    <cfRule type="expression" dxfId="3862" priority="14514">
      <formula>IF($B36="Quoting",TRUE,FALSE)</formula>
    </cfRule>
    <cfRule type="expression" dxfId="3861" priority="14515">
      <formula>IF($B36="Quoting",TRUE,FALSE)</formula>
    </cfRule>
    <cfRule type="expression" dxfId="3860" priority="14516">
      <formula>IF($B36="Quoting",TRUE,FALSE)</formula>
    </cfRule>
    <cfRule type="expression" dxfId="3859" priority="14517">
      <formula>IF($B36="Quoting",TRUE,FALSE)</formula>
    </cfRule>
    <cfRule type="expression" dxfId="3858" priority="14518">
      <formula>IF($B36="Quoting",TRUE,FALSE)</formula>
    </cfRule>
    <cfRule type="expression" dxfId="3857" priority="14519">
      <formula>IF($B36="Quoting",TRUE,FALSE)</formula>
    </cfRule>
    <cfRule type="expression" dxfId="3856" priority="14520">
      <formula>IF($B36="Quoting",TRUE,FALSE)</formula>
    </cfRule>
    <cfRule type="expression" dxfId="3855" priority="14521">
      <formula>IF($B36="Quoting",TRUE,FALSE)</formula>
    </cfRule>
    <cfRule type="expression" dxfId="3854" priority="14522">
      <formula>IF($B36="Quoting",TRUE,FALSE)</formula>
    </cfRule>
    <cfRule type="expression" dxfId="3853" priority="14523">
      <formula>IF($B36="Quoting",TRUE,FALSE)</formula>
    </cfRule>
    <cfRule type="expression" dxfId="3852" priority="14524">
      <formula>IF($B36="Quoting",TRUE,FALSE)</formula>
    </cfRule>
    <cfRule type="expression" dxfId="3851" priority="14525">
      <formula>IF($B36="Quoting",TRUE,FALSE)</formula>
    </cfRule>
    <cfRule type="expression" dxfId="3850" priority="14526">
      <formula>IF($B36="Quoting",TRUE,FALSE)</formula>
    </cfRule>
    <cfRule type="expression" dxfId="3849" priority="14527">
      <formula>IF($B36="Quoting",TRUE,FALSE)</formula>
    </cfRule>
    <cfRule type="expression" dxfId="3848" priority="14528">
      <formula>IF($B36="Quoting",TRUE,FALSE)</formula>
    </cfRule>
    <cfRule type="expression" dxfId="3847" priority="14529">
      <formula>IF($B36="Quoting",TRUE,FALSE)</formula>
    </cfRule>
    <cfRule type="expression" dxfId="3846" priority="14530">
      <formula>IF($B36="Quoting",TRUE,FALSE)</formula>
    </cfRule>
    <cfRule type="expression" dxfId="3845" priority="14531">
      <formula>IF($B36="Quoting",TRUE,FALSE)</formula>
    </cfRule>
    <cfRule type="expression" dxfId="3844" priority="14532">
      <formula>IF($B36="Quoting",TRUE,FALSE)</formula>
    </cfRule>
    <cfRule type="expression" dxfId="3843" priority="14533">
      <formula>IF($B36="Quoting",TRUE,FALSE)</formula>
    </cfRule>
    <cfRule type="expression" dxfId="3842" priority="14534">
      <formula>IF($B36="Quoting",TRUE,FALSE)</formula>
    </cfRule>
    <cfRule type="expression" dxfId="3841" priority="14535">
      <formula>IF($B36="Quoting",TRUE,FALSE)</formula>
    </cfRule>
    <cfRule type="expression" dxfId="3840" priority="14536">
      <formula>IF($B36="Quoting",TRUE,FALSE)</formula>
    </cfRule>
    <cfRule type="expression" dxfId="3839" priority="14537">
      <formula>IF($B36="Quoting",TRUE,FALSE)</formula>
    </cfRule>
    <cfRule type="expression" dxfId="3838" priority="14538">
      <formula>IF($B36="Quoting",TRUE,FALSE)</formula>
    </cfRule>
    <cfRule type="expression" dxfId="3837" priority="14539">
      <formula>IF($B36="Quoting",TRUE,FALSE)</formula>
    </cfRule>
    <cfRule type="expression" dxfId="3836" priority="14540">
      <formula>IF($B36="Quoting",TRUE,FALSE)</formula>
    </cfRule>
    <cfRule type="expression" dxfId="3835" priority="14541">
      <formula>IF($B36="Quoting",TRUE,FALSE)</formula>
    </cfRule>
    <cfRule type="expression" dxfId="3834" priority="14542">
      <formula>IF($B36="Quoting",TRUE,FALSE)</formula>
    </cfRule>
    <cfRule type="expression" dxfId="3833" priority="14543">
      <formula>IF($B36="Quoting",TRUE,FALSE)</formula>
    </cfRule>
    <cfRule type="expression" dxfId="3832" priority="14544">
      <formula>IF($B36="Quoting",TRUE,FALSE)</formula>
    </cfRule>
    <cfRule type="expression" dxfId="3831" priority="14545">
      <formula>IF($B36="Quoting",TRUE,FALSE)</formula>
    </cfRule>
    <cfRule type="expression" dxfId="3830" priority="14546">
      <formula>IF($B36="Quoting",TRUE,FALSE)</formula>
    </cfRule>
    <cfRule type="expression" dxfId="3829" priority="14547">
      <formula>IF($B36="Quoting",TRUE,FALSE)</formula>
    </cfRule>
    <cfRule type="expression" dxfId="3828" priority="14548">
      <formula>IF($B36="Quoting",TRUE,FALSE)</formula>
    </cfRule>
    <cfRule type="expression" dxfId="3827" priority="14549">
      <formula>IF($B36="Quoting",TRUE,FALSE)</formula>
    </cfRule>
    <cfRule type="expression" dxfId="3826" priority="14550">
      <formula>IF($B36="Quoting",TRUE,FALSE)</formula>
    </cfRule>
    <cfRule type="expression" dxfId="3825" priority="14551">
      <formula>IF($B36="Quoting",TRUE,FALSE)</formula>
    </cfRule>
    <cfRule type="expression" dxfId="3824" priority="14552">
      <formula>IF($B36="Quoting",TRUE,FALSE)</formula>
    </cfRule>
    <cfRule type="expression" dxfId="3823" priority="14553">
      <formula>IF($B36="Quoting",TRUE,FALSE)</formula>
    </cfRule>
    <cfRule type="expression" dxfId="3822" priority="14554">
      <formula>IF($B36="Quoting",TRUE,FALSE)</formula>
    </cfRule>
    <cfRule type="expression" dxfId="3821" priority="14555">
      <formula>IF($B36="Quoting",TRUE,FALSE)</formula>
    </cfRule>
    <cfRule type="expression" dxfId="3820" priority="14556">
      <formula>IF($B36="Quoting",TRUE,FALSE)</formula>
    </cfRule>
    <cfRule type="expression" dxfId="3819" priority="14557">
      <formula>IF($B36="Quoting",TRUE,FALSE)</formula>
    </cfRule>
    <cfRule type="expression" dxfId="3818" priority="14558">
      <formula>IF($B36="Quoting",TRUE,FALSE)</formula>
    </cfRule>
    <cfRule type="expression" dxfId="3817" priority="14559">
      <formula>IF($B36="Quoting",TRUE,FALSE)</formula>
    </cfRule>
    <cfRule type="expression" dxfId="3816" priority="14560">
      <formula>IF($B36="Quoting",TRUE,FALSE)</formula>
    </cfRule>
    <cfRule type="expression" dxfId="3815" priority="14561">
      <formula>IF($B36="Quoting",TRUE,FALSE)</formula>
    </cfRule>
    <cfRule type="expression" dxfId="3814" priority="14562">
      <formula>IF($B36="Quoting",TRUE,FALSE)</formula>
    </cfRule>
    <cfRule type="expression" dxfId="3813" priority="14563">
      <formula>IF($B36="Quoting",TRUE,FALSE)</formula>
    </cfRule>
    <cfRule type="expression" dxfId="3812" priority="14564">
      <formula>IF($B36="Quoting",TRUE,FALSE)</formula>
    </cfRule>
    <cfRule type="expression" dxfId="3811" priority="14565">
      <formula>IF($B36="Quoting",TRUE,FALSE)</formula>
    </cfRule>
    <cfRule type="expression" dxfId="3810" priority="14566">
      <formula>IF($B36="Quoting",TRUE,FALSE)</formula>
    </cfRule>
    <cfRule type="expression" dxfId="3809" priority="14567">
      <formula>IF($B36="Quoting",TRUE,FALSE)</formula>
    </cfRule>
    <cfRule type="expression" dxfId="3808" priority="14568">
      <formula>IF($B36="Quoting",TRUE,FALSE)</formula>
    </cfRule>
    <cfRule type="expression" dxfId="3807" priority="14569">
      <formula>IF($B36="Quoting",TRUE,FALSE)</formula>
    </cfRule>
    <cfRule type="expression" dxfId="3806" priority="14570">
      <formula>IF($B36="Quoting",TRUE,FALSE)</formula>
    </cfRule>
    <cfRule type="expression" dxfId="3805" priority="14571">
      <formula>IF($B36="Quoting",TRUE,FALSE)</formula>
    </cfRule>
    <cfRule type="expression" dxfId="3804" priority="14572">
      <formula>IF($B36="Quoting",TRUE,FALSE)</formula>
    </cfRule>
    <cfRule type="expression" dxfId="3803" priority="14573">
      <formula>IF($B36="Quoting",TRUE,FALSE)</formula>
    </cfRule>
    <cfRule type="expression" dxfId="3802" priority="14574">
      <formula>IF($B36="Quoting",TRUE,FALSE)</formula>
    </cfRule>
    <cfRule type="expression" dxfId="3801" priority="14575">
      <formula>IF($B36="Quoting",TRUE,FALSE)</formula>
    </cfRule>
    <cfRule type="expression" dxfId="3800" priority="14576">
      <formula>IF($B36="Quoting",TRUE,FALSE)</formula>
    </cfRule>
    <cfRule type="expression" dxfId="3799" priority="14577">
      <formula>IF($B36="Quoting",TRUE,FALSE)</formula>
    </cfRule>
    <cfRule type="expression" dxfId="3798" priority="14578">
      <formula>IF($B36="Quoting",TRUE,FALSE)</formula>
    </cfRule>
    <cfRule type="expression" dxfId="3797" priority="14579">
      <formula>IF($B36="Quoting",TRUE,FALSE)</formula>
    </cfRule>
    <cfRule type="expression" dxfId="3796" priority="14580">
      <formula>IF($B36="Quoting",TRUE,FALSE)</formula>
    </cfRule>
    <cfRule type="expression" dxfId="3795" priority="14581">
      <formula>IF($B36="Quoting",TRUE,FALSE)</formula>
    </cfRule>
    <cfRule type="expression" dxfId="3794" priority="14582">
      <formula>IF($B36="Quoting",TRUE,FALSE)</formula>
    </cfRule>
    <cfRule type="expression" dxfId="3793" priority="14583">
      <formula>IF($B36="Quoting",TRUE,FALSE)</formula>
    </cfRule>
    <cfRule type="expression" dxfId="3792" priority="14584">
      <formula>IF($B36="Quoting",TRUE,FALSE)</formula>
    </cfRule>
    <cfRule type="expression" dxfId="3791" priority="14585">
      <formula>IF($B36="Quoting",TRUE,FALSE)</formula>
    </cfRule>
    <cfRule type="expression" dxfId="3790" priority="14586">
      <formula>IF($B36="Quoting",TRUE,FALSE)</formula>
    </cfRule>
    <cfRule type="expression" dxfId="3789" priority="14587">
      <formula>IF($B36="Quoting",TRUE,FALSE)</formula>
    </cfRule>
    <cfRule type="expression" dxfId="3788" priority="14588">
      <formula>IF($B36="Quoting",TRUE,FALSE)</formula>
    </cfRule>
    <cfRule type="expression" dxfId="3787" priority="14589">
      <formula>IF($B36="Quoting",TRUE,FALSE)</formula>
    </cfRule>
    <cfRule type="expression" dxfId="3786" priority="14590">
      <formula>IF($B36="Quoting",TRUE,FALSE)</formula>
    </cfRule>
    <cfRule type="expression" dxfId="3785" priority="14591">
      <formula>IF($B36="Quoting",TRUE,FALSE)</formula>
    </cfRule>
    <cfRule type="expression" dxfId="3784" priority="14592">
      <formula>IF($B36="Quoting",TRUE,FALSE)</formula>
    </cfRule>
    <cfRule type="expression" dxfId="3783" priority="14593">
      <formula>IF($B36="Quoting",TRUE,FALSE)</formula>
    </cfRule>
    <cfRule type="expression" dxfId="3782" priority="14594">
      <formula>IF($B36="Quoting",TRUE,FALSE)</formula>
    </cfRule>
    <cfRule type="expression" dxfId="3781" priority="14595">
      <formula>IF($B36="Quoting",TRUE,FALSE)</formula>
    </cfRule>
    <cfRule type="expression" dxfId="3780" priority="14596">
      <formula>IF($B36="Quoting",TRUE,FALSE)</formula>
    </cfRule>
    <cfRule type="expression" dxfId="3779" priority="14597">
      <formula>IF($B36="Quoting",TRUE,FALSE)</formula>
    </cfRule>
    <cfRule type="expression" dxfId="3778" priority="14598">
      <formula>IF($B36="Quoting",TRUE,FALSE)</formula>
    </cfRule>
    <cfRule type="expression" dxfId="3777" priority="14599">
      <formula>IF($B36="Quoting",TRUE,FALSE)</formula>
    </cfRule>
    <cfRule type="expression" dxfId="3776" priority="14600">
      <formula>IF($B36="Quoting",TRUE,FALSE)</formula>
    </cfRule>
    <cfRule type="expression" dxfId="3775" priority="14601">
      <formula>IF($B36="Quoting",TRUE,FALSE)</formula>
    </cfRule>
    <cfRule type="expression" dxfId="3774" priority="14602">
      <formula>IF($B36="Quoting",TRUE,FALSE)</formula>
    </cfRule>
    <cfRule type="expression" dxfId="3773" priority="14603">
      <formula>IF($B36="Quoting",TRUE,FALSE)</formula>
    </cfRule>
    <cfRule type="expression" dxfId="3772" priority="14604">
      <formula>IF($B36="Quoting",TRUE,FALSE)</formula>
    </cfRule>
    <cfRule type="expression" dxfId="3771" priority="14605">
      <formula>IF($B36="Quoting",TRUE,FALSE)</formula>
    </cfRule>
    <cfRule type="expression" dxfId="3770" priority="14606">
      <formula>IF($B36="Quoting",TRUE,FALSE)</formula>
    </cfRule>
    <cfRule type="expression" dxfId="3769" priority="14607">
      <formula>IF($B36="Quoting",TRUE,FALSE)</formula>
    </cfRule>
    <cfRule type="expression" dxfId="3768" priority="14608">
      <formula>IF($B36="Quoting",TRUE,FALSE)</formula>
    </cfRule>
    <cfRule type="expression" dxfId="3767" priority="14609">
      <formula>IF($B36="Quoting",TRUE,FALSE)</formula>
    </cfRule>
    <cfRule type="expression" dxfId="3766" priority="14610">
      <formula>IF($B36="Quoting",TRUE,FALSE)</formula>
    </cfRule>
    <cfRule type="expression" dxfId="3765" priority="14611">
      <formula>IF($B36="Quoting",TRUE,FALSE)</formula>
    </cfRule>
    <cfRule type="expression" dxfId="3764" priority="14612">
      <formula>IF($B36="Quoting",TRUE,FALSE)</formula>
    </cfRule>
    <cfRule type="expression" dxfId="3763" priority="14613">
      <formula>IF($B36="Quoting",TRUE,FALSE)</formula>
    </cfRule>
    <cfRule type="expression" dxfId="3762" priority="14614">
      <formula>IF($B36="Quoting",TRUE,FALSE)</formula>
    </cfRule>
    <cfRule type="expression" dxfId="3761" priority="14615">
      <formula>IF($B36="Quoting",TRUE,FALSE)</formula>
    </cfRule>
    <cfRule type="expression" dxfId="3760" priority="14616">
      <formula>IF($B36="Quoting",TRUE,FALSE)</formula>
    </cfRule>
    <cfRule type="expression" dxfId="3759" priority="14617">
      <formula>IF($B36="Quoting",TRUE,FALSE)</formula>
    </cfRule>
    <cfRule type="expression" dxfId="3758" priority="14618">
      <formula>IF($B36="Quoting",TRUE,FALSE)</formula>
    </cfRule>
    <cfRule type="expression" dxfId="3757" priority="14619">
      <formula>IF($B36="Quoting",TRUE,FALSE)</formula>
    </cfRule>
    <cfRule type="expression" dxfId="3756" priority="14620">
      <formula>IF($B36="Quoting",TRUE,FALSE)</formula>
    </cfRule>
    <cfRule type="expression" dxfId="3755" priority="14621">
      <formula>IF($B36="Quoting",TRUE,FALSE)</formula>
    </cfRule>
    <cfRule type="expression" dxfId="3754" priority="14622">
      <formula>IF($B36="Quoting",TRUE,FALSE)</formula>
    </cfRule>
    <cfRule type="expression" dxfId="3753" priority="14623">
      <formula>IF($B36="Quoting",TRUE,FALSE)</formula>
    </cfRule>
    <cfRule type="expression" dxfId="3752" priority="14624">
      <formula>IF($B36="Quoting",TRUE,FALSE)</formula>
    </cfRule>
    <cfRule type="expression" dxfId="3751" priority="14625">
      <formula>IF($B36="Quoting",TRUE,FALSE)</formula>
    </cfRule>
    <cfRule type="expression" dxfId="3750" priority="14626">
      <formula>IF($B36="Quoting",TRUE,FALSE)</formula>
    </cfRule>
    <cfRule type="expression" dxfId="3749" priority="14627">
      <formula>IF($B36="Quoting",TRUE,FALSE)</formula>
    </cfRule>
    <cfRule type="expression" dxfId="3748" priority="14628">
      <formula>IF($B36="Quoting",TRUE,FALSE)</formula>
    </cfRule>
    <cfRule type="expression" dxfId="3747" priority="14629">
      <formula>IF($B36="Quoting",TRUE,FALSE)</formula>
    </cfRule>
    <cfRule type="expression" dxfId="3746" priority="14630">
      <formula>IF($B36="Quoting",TRUE,FALSE)</formula>
    </cfRule>
    <cfRule type="expression" dxfId="3745" priority="14631">
      <formula>IF($B36="Quoting",TRUE,FALSE)</formula>
    </cfRule>
    <cfRule type="expression" dxfId="3744" priority="14632">
      <formula>IF($B36="Quoting",TRUE,FALSE)</formula>
    </cfRule>
    <cfRule type="expression" dxfId="3743" priority="14633">
      <formula>IF($B36="Quoting",TRUE,FALSE)</formula>
    </cfRule>
    <cfRule type="expression" dxfId="3742" priority="14634">
      <formula>IF($B36="Quoting",TRUE,FALSE)</formula>
    </cfRule>
    <cfRule type="expression" dxfId="3741" priority="14635">
      <formula>IF($B36="Quoting",TRUE,FALSE)</formula>
    </cfRule>
    <cfRule type="expression" dxfId="3740" priority="14636">
      <formula>IF($B36="Quoting",TRUE,FALSE)</formula>
    </cfRule>
    <cfRule type="expression" dxfId="3739" priority="14637">
      <formula>IF($B36="Quoting",TRUE,FALSE)</formula>
    </cfRule>
  </conditionalFormatting>
  <conditionalFormatting sqref="H14">
    <cfRule type="expression" dxfId="3738" priority="50341">
      <formula>IF($B14="VOID",TRUE,FALSE)</formula>
    </cfRule>
    <cfRule type="expression" dxfId="3737" priority="50342">
      <formula>IF($B14="Custom Quote",TRUE,FALSE)</formula>
    </cfRule>
  </conditionalFormatting>
  <conditionalFormatting sqref="H15">
    <cfRule type="expression" dxfId="3736" priority="50339">
      <formula>IF($B15="VOID",TRUE,FALSE)</formula>
    </cfRule>
    <cfRule type="expression" dxfId="3735" priority="50340">
      <formula>IF($B15="Custom Quote",TRUE,FALSE)</formula>
    </cfRule>
    <cfRule type="expression" dxfId="3734" priority="50383">
      <formula>IF($B15="VOID",TRUE,FALSE)</formula>
    </cfRule>
    <cfRule type="expression" dxfId="3733" priority="50384">
      <formula>IF($B15="Custom Quote",TRUE,FALSE)</formula>
    </cfRule>
  </conditionalFormatting>
  <conditionalFormatting sqref="H35">
    <cfRule type="expression" dxfId="3732" priority="20059">
      <formula>IF($B35="Custom Quote",TRUE,FALSE)</formula>
    </cfRule>
  </conditionalFormatting>
  <conditionalFormatting sqref="H36">
    <cfRule type="expression" dxfId="3731" priority="12612">
      <formula>IF($B36="Custom Quote",TRUE,FALSE)</formula>
    </cfRule>
    <cfRule type="expression" dxfId="3730" priority="12613">
      <formula>IF($B36="Quoting",TRUE,FALSE)</formula>
    </cfRule>
    <cfRule type="expression" dxfId="3729" priority="12614">
      <formula>IF($B36="Quoting",TRUE,FALSE)</formula>
    </cfRule>
    <cfRule type="expression" dxfId="3728" priority="12615">
      <formula>IF($B36="Quoting",TRUE,FALSE)</formula>
    </cfRule>
    <cfRule type="expression" dxfId="3727" priority="12616">
      <formula>IF($B36="Quoting",TRUE,FALSE)</formula>
    </cfRule>
    <cfRule type="expression" dxfId="3726" priority="12617">
      <formula>IF($B36="Quoting",TRUE,FALSE)</formula>
    </cfRule>
    <cfRule type="expression" dxfId="3725" priority="12618">
      <formula>IF($B36="Quoting",TRUE,FALSE)</formula>
    </cfRule>
    <cfRule type="expression" dxfId="3724" priority="12619">
      <formula>IF($B36="Quoting",TRUE,FALSE)</formula>
    </cfRule>
    <cfRule type="expression" dxfId="3723" priority="12620">
      <formula>IF($B36="Quoting",TRUE,FALSE)</formula>
    </cfRule>
    <cfRule type="expression" dxfId="3722" priority="12621">
      <formula>IF($B36="Quoting",TRUE,FALSE)</formula>
    </cfRule>
    <cfRule type="expression" dxfId="3721" priority="12622">
      <formula>IF($B36="Quoting",TRUE,FALSE)</formula>
    </cfRule>
    <cfRule type="expression" dxfId="3720" priority="12623">
      <formula>IF($B36="Quoting",TRUE,FALSE)</formula>
    </cfRule>
    <cfRule type="expression" dxfId="3719" priority="12624">
      <formula>IF($B36="Quoting",TRUE,FALSE)</formula>
    </cfRule>
    <cfRule type="expression" dxfId="3718" priority="12625">
      <formula>IF($B36="Quoting",TRUE,FALSE)</formula>
    </cfRule>
    <cfRule type="expression" dxfId="3717" priority="12626">
      <formula>IF($B36="Quoting",TRUE,FALSE)</formula>
    </cfRule>
    <cfRule type="expression" dxfId="3716" priority="12627">
      <formula>IF($B36="Quoting",TRUE,FALSE)</formula>
    </cfRule>
    <cfRule type="expression" dxfId="3715" priority="12628">
      <formula>IF($B36="Quoting",TRUE,FALSE)</formula>
    </cfRule>
    <cfRule type="expression" dxfId="3714" priority="12629">
      <formula>IF($B36="Quoting",TRUE,FALSE)</formula>
    </cfRule>
    <cfRule type="expression" dxfId="3713" priority="12630">
      <formula>IF($B36="Quoting",TRUE,FALSE)</formula>
    </cfRule>
    <cfRule type="expression" dxfId="3712" priority="12631">
      <formula>IF($B36="Quoting",TRUE,FALSE)</formula>
    </cfRule>
    <cfRule type="expression" dxfId="3711" priority="12632">
      <formula>IF($B36="Quoting",TRUE,FALSE)</formula>
    </cfRule>
    <cfRule type="expression" dxfId="3710" priority="12633">
      <formula>IF($B36="Quoting",TRUE,FALSE)</formula>
    </cfRule>
    <cfRule type="expression" dxfId="3709" priority="12634">
      <formula>IF($B36="Quoting",TRUE,FALSE)</formula>
    </cfRule>
    <cfRule type="expression" dxfId="3708" priority="12635">
      <formula>IF($B36="Quoting",TRUE,FALSE)</formula>
    </cfRule>
    <cfRule type="expression" dxfId="3707" priority="12636">
      <formula>IF($B36="Quoting",TRUE,FALSE)</formula>
    </cfRule>
    <cfRule type="expression" dxfId="3706" priority="12637">
      <formula>IF($B36="Quoting",TRUE,FALSE)</formula>
    </cfRule>
    <cfRule type="expression" dxfId="3705" priority="12638">
      <formula>IF($B36="Quoting",TRUE,FALSE)</formula>
    </cfRule>
    <cfRule type="expression" dxfId="3704" priority="12639">
      <formula>IF($B36="Quoting",TRUE,FALSE)</formula>
    </cfRule>
    <cfRule type="expression" dxfId="3703" priority="12640">
      <formula>IF($B36="Quoting",TRUE,FALSE)</formula>
    </cfRule>
    <cfRule type="expression" dxfId="3702" priority="12641">
      <formula>IF($B36="Quoting",TRUE,FALSE)</formula>
    </cfRule>
    <cfRule type="expression" dxfId="3701" priority="12642">
      <formula>IF($B36="Quoting",TRUE,FALSE)</formula>
    </cfRule>
    <cfRule type="expression" dxfId="3700" priority="12643">
      <formula>IF($B36="Quoting",TRUE,FALSE)</formula>
    </cfRule>
    <cfRule type="expression" dxfId="3699" priority="12644">
      <formula>IF($B36="Quoting",TRUE,FALSE)</formula>
    </cfRule>
    <cfRule type="expression" dxfId="3698" priority="12645">
      <formula>IF($B36="Quoting",TRUE,FALSE)</formula>
    </cfRule>
    <cfRule type="expression" dxfId="3697" priority="12646">
      <formula>IF($B36="Quoting",TRUE,FALSE)</formula>
    </cfRule>
    <cfRule type="expression" dxfId="3696" priority="12647">
      <formula>IF($B36="Quoting",TRUE,FALSE)</formula>
    </cfRule>
    <cfRule type="expression" dxfId="3695" priority="12648">
      <formula>IF($B36="Quoting",TRUE,FALSE)</formula>
    </cfRule>
    <cfRule type="expression" dxfId="3694" priority="12649">
      <formula>IF($B36="Quoting",TRUE,FALSE)</formula>
    </cfRule>
    <cfRule type="expression" dxfId="3693" priority="12650">
      <formula>IF($B36="Quoting",TRUE,FALSE)</formula>
    </cfRule>
    <cfRule type="expression" dxfId="3692" priority="12651">
      <formula>IF($B36="Quoting",TRUE,FALSE)</formula>
    </cfRule>
    <cfRule type="expression" dxfId="3691" priority="12652">
      <formula>IF($B36="Quoting",TRUE,FALSE)</formula>
    </cfRule>
    <cfRule type="expression" dxfId="3690" priority="12653">
      <formula>IF($B36="Quoting",TRUE,FALSE)</formula>
    </cfRule>
    <cfRule type="expression" dxfId="3689" priority="12654">
      <formula>IF($B36="Quoting",TRUE,FALSE)</formula>
    </cfRule>
    <cfRule type="expression" dxfId="3688" priority="12655">
      <formula>IF($B36="Quoting",TRUE,FALSE)</formula>
    </cfRule>
    <cfRule type="expression" dxfId="3687" priority="12656">
      <formula>IF($B36="Quoting",TRUE,FALSE)</formula>
    </cfRule>
    <cfRule type="expression" dxfId="3686" priority="12657">
      <formula>IF($B36="Quoting",TRUE,FALSE)</formula>
    </cfRule>
    <cfRule type="expression" dxfId="3685" priority="12658">
      <formula>IF($B36="Quoting",TRUE,FALSE)</formula>
    </cfRule>
    <cfRule type="expression" dxfId="3684" priority="12659">
      <formula>IF($B36="Quoting",TRUE,FALSE)</formula>
    </cfRule>
    <cfRule type="expression" dxfId="3683" priority="12660">
      <formula>IF($B36="Quoting",TRUE,FALSE)</formula>
    </cfRule>
    <cfRule type="expression" dxfId="3682" priority="12661">
      <formula>IF($B36="Quoting",TRUE,FALSE)</formula>
    </cfRule>
    <cfRule type="expression" dxfId="3681" priority="12662">
      <formula>IF($B36="Quoting",TRUE,FALSE)</formula>
    </cfRule>
    <cfRule type="expression" dxfId="3680" priority="12663">
      <formula>IF($B36="Quoting",TRUE,FALSE)</formula>
    </cfRule>
    <cfRule type="expression" dxfId="3679" priority="12664">
      <formula>IF($B36="Quoting",TRUE,FALSE)</formula>
    </cfRule>
    <cfRule type="expression" dxfId="3678" priority="12665">
      <formula>IF($B36="Quoting",TRUE,FALSE)</formula>
    </cfRule>
    <cfRule type="expression" dxfId="3677" priority="12666">
      <formula>IF($B36="Quoting",TRUE,FALSE)</formula>
    </cfRule>
    <cfRule type="expression" dxfId="3676" priority="12667">
      <formula>IF($B36="Quoting",TRUE,FALSE)</formula>
    </cfRule>
    <cfRule type="expression" dxfId="3675" priority="12668">
      <formula>IF($B36="Quoting",TRUE,FALSE)</formula>
    </cfRule>
    <cfRule type="expression" dxfId="3674" priority="12669">
      <formula>IF($B36="Quoting",TRUE,FALSE)</formula>
    </cfRule>
    <cfRule type="expression" dxfId="3673" priority="12670">
      <formula>IF($B36="Quoting",TRUE,FALSE)</formula>
    </cfRule>
    <cfRule type="expression" dxfId="3672" priority="12671">
      <formula>IF($B36="Quoting",TRUE,FALSE)</formula>
    </cfRule>
    <cfRule type="expression" dxfId="3671" priority="12672">
      <formula>IF($B36="Quoting",TRUE,FALSE)</formula>
    </cfRule>
    <cfRule type="expression" dxfId="3670" priority="12673">
      <formula>IF($B36="Quoting",TRUE,FALSE)</formula>
    </cfRule>
    <cfRule type="expression" dxfId="3669" priority="12674">
      <formula>IF($B36="Quoting",TRUE,FALSE)</formula>
    </cfRule>
    <cfRule type="expression" dxfId="3668" priority="12675">
      <formula>IF($B36="Quoting",TRUE,FALSE)</formula>
    </cfRule>
    <cfRule type="expression" dxfId="3667" priority="12676">
      <formula>IF($B36="Quoting",TRUE,FALSE)</formula>
    </cfRule>
    <cfRule type="expression" dxfId="3666" priority="12677">
      <formula>IF($B36="Quoting",TRUE,FALSE)</formula>
    </cfRule>
    <cfRule type="expression" dxfId="3665" priority="12678">
      <formula>IF($B36="Quoting",TRUE,FALSE)</formula>
    </cfRule>
    <cfRule type="expression" dxfId="3664" priority="12679">
      <formula>IF($B36="Quoting",TRUE,FALSE)</formula>
    </cfRule>
    <cfRule type="expression" dxfId="3663" priority="12680">
      <formula>IF($B36="Quoting",TRUE,FALSE)</formula>
    </cfRule>
    <cfRule type="expression" dxfId="3662" priority="12681">
      <formula>IF($B36="Quoting",TRUE,FALSE)</formula>
    </cfRule>
    <cfRule type="expression" dxfId="3661" priority="12682">
      <formula>IF($B36="Quoting",TRUE,FALSE)</formula>
    </cfRule>
    <cfRule type="expression" dxfId="3660" priority="12683">
      <formula>IF($B36="Quoting",TRUE,FALSE)</formula>
    </cfRule>
    <cfRule type="expression" dxfId="3659" priority="12684">
      <formula>IF($B36="Quoting",TRUE,FALSE)</formula>
    </cfRule>
    <cfRule type="expression" dxfId="3658" priority="12685">
      <formula>IF($B36="Quoting",TRUE,FALSE)</formula>
    </cfRule>
    <cfRule type="expression" dxfId="3657" priority="12686">
      <formula>IF($B36="Quoting",TRUE,FALSE)</formula>
    </cfRule>
    <cfRule type="expression" dxfId="3656" priority="12687">
      <formula>IF($B36="Quoting",TRUE,FALSE)</formula>
    </cfRule>
    <cfRule type="expression" dxfId="3655" priority="12688">
      <formula>IF($B36="Quoting",TRUE,FALSE)</formula>
    </cfRule>
    <cfRule type="expression" dxfId="3654" priority="12689">
      <formula>IF($B36="Quoting",TRUE,FALSE)</formula>
    </cfRule>
    <cfRule type="expression" dxfId="3653" priority="12690">
      <formula>IF($B36="Quoting",TRUE,FALSE)</formula>
    </cfRule>
    <cfRule type="expression" dxfId="3652" priority="12691">
      <formula>IF($B36="Quoting",TRUE,FALSE)</formula>
    </cfRule>
    <cfRule type="expression" dxfId="3651" priority="12692">
      <formula>IF($B36="Quoting",TRUE,FALSE)</formula>
    </cfRule>
    <cfRule type="expression" dxfId="3650" priority="12693">
      <formula>IF($B36="Quoting",TRUE,FALSE)</formula>
    </cfRule>
    <cfRule type="expression" dxfId="3649" priority="12694">
      <formula>IF($B36="Quoting",TRUE,FALSE)</formula>
    </cfRule>
    <cfRule type="expression" dxfId="3648" priority="12695">
      <formula>IF($B36="Quoting",TRUE,FALSE)</formula>
    </cfRule>
    <cfRule type="expression" dxfId="3647" priority="12696">
      <formula>IF($B36="Quoting",TRUE,FALSE)</formula>
    </cfRule>
    <cfRule type="expression" dxfId="3646" priority="12697">
      <formula>IF($B36="Quoting",TRUE,FALSE)</formula>
    </cfRule>
    <cfRule type="expression" dxfId="3645" priority="12698">
      <formula>IF($B36="Quoting",TRUE,FALSE)</formula>
    </cfRule>
    <cfRule type="expression" dxfId="3644" priority="12699">
      <formula>IF($B36="Quoting",TRUE,FALSE)</formula>
    </cfRule>
    <cfRule type="expression" dxfId="3643" priority="12700">
      <formula>IF($B36="Quoting",TRUE,FALSE)</formula>
    </cfRule>
    <cfRule type="expression" dxfId="3642" priority="12701">
      <formula>IF($B36="Quoting",TRUE,FALSE)</formula>
    </cfRule>
    <cfRule type="expression" dxfId="3641" priority="12702">
      <formula>IF($B36="Quoting",TRUE,FALSE)</formula>
    </cfRule>
    <cfRule type="expression" dxfId="3640" priority="12703">
      <formula>IF($B36="Quoting",TRUE,FALSE)</formula>
    </cfRule>
    <cfRule type="expression" dxfId="3639" priority="12704">
      <formula>IF($B36="Quoting",TRUE,FALSE)</formula>
    </cfRule>
    <cfRule type="expression" dxfId="3638" priority="12705">
      <formula>IF($B36="Quoting",TRUE,FALSE)</formula>
    </cfRule>
    <cfRule type="expression" dxfId="3637" priority="12706">
      <formula>IF($B36="Quoting",TRUE,FALSE)</formula>
    </cfRule>
    <cfRule type="expression" dxfId="3636" priority="12707">
      <formula>IF($B36="Quoting",TRUE,FALSE)</formula>
    </cfRule>
    <cfRule type="expression" dxfId="3635" priority="12708">
      <formula>IF($B36="Quoting",TRUE,FALSE)</formula>
    </cfRule>
    <cfRule type="expression" dxfId="3634" priority="12709">
      <formula>IF($B36="Quoting",TRUE,FALSE)</formula>
    </cfRule>
    <cfRule type="expression" dxfId="3633" priority="12710">
      <formula>IF($B36="Quoting",TRUE,FALSE)</formula>
    </cfRule>
    <cfRule type="expression" dxfId="3632" priority="12711">
      <formula>IF($B36="Quoting",TRUE,FALSE)</formula>
    </cfRule>
    <cfRule type="expression" dxfId="3631" priority="12712">
      <formula>IF($B36="Quoting",TRUE,FALSE)</formula>
    </cfRule>
    <cfRule type="expression" dxfId="3630" priority="12713">
      <formula>IF($B36="Quoting",TRUE,FALSE)</formula>
    </cfRule>
    <cfRule type="expression" dxfId="3629" priority="12714">
      <formula>IF($B36="Quoting",TRUE,FALSE)</formula>
    </cfRule>
    <cfRule type="expression" dxfId="3628" priority="12715">
      <formula>IF($B36="Quoting",TRUE,FALSE)</formula>
    </cfRule>
    <cfRule type="expression" dxfId="3627" priority="12716">
      <formula>IF($B36="Quoting",TRUE,FALSE)</formula>
    </cfRule>
    <cfRule type="expression" dxfId="3626" priority="12717">
      <formula>IF($B36="Quoting",TRUE,FALSE)</formula>
    </cfRule>
    <cfRule type="expression" dxfId="3625" priority="12718">
      <formula>IF($B36="Quoting",TRUE,FALSE)</formula>
    </cfRule>
    <cfRule type="expression" dxfId="3624" priority="12719">
      <formula>IF($B36="Quoting",TRUE,FALSE)</formula>
    </cfRule>
    <cfRule type="expression" dxfId="3623" priority="12720">
      <formula>IF($B36="Quoting",TRUE,FALSE)</formula>
    </cfRule>
    <cfRule type="expression" dxfId="3622" priority="12721">
      <formula>IF($B36="Quoting",TRUE,FALSE)</formula>
    </cfRule>
    <cfRule type="expression" dxfId="3621" priority="12722">
      <formula>IF($B36="Quoting",TRUE,FALSE)</formula>
    </cfRule>
    <cfRule type="expression" dxfId="3620" priority="12723">
      <formula>IF($B36="Quoting",TRUE,FALSE)</formula>
    </cfRule>
    <cfRule type="expression" dxfId="3619" priority="12724">
      <formula>IF($B36="Quoting",TRUE,FALSE)</formula>
    </cfRule>
    <cfRule type="expression" dxfId="3618" priority="12725">
      <formula>IF($B36="Quoting",TRUE,FALSE)</formula>
    </cfRule>
    <cfRule type="expression" dxfId="3617" priority="12726">
      <formula>IF($B36="Quoting",TRUE,FALSE)</formula>
    </cfRule>
    <cfRule type="expression" dxfId="3616" priority="12727">
      <formula>IF($B36="Quoting",TRUE,FALSE)</formula>
    </cfRule>
    <cfRule type="expression" dxfId="3615" priority="12728">
      <formula>IF($B36="Quoting",TRUE,FALSE)</formula>
    </cfRule>
    <cfRule type="expression" dxfId="3614" priority="12729">
      <formula>IF($B36="Quoting",TRUE,FALSE)</formula>
    </cfRule>
    <cfRule type="expression" dxfId="3613" priority="12730">
      <formula>IF($B36="Quoting",TRUE,FALSE)</formula>
    </cfRule>
    <cfRule type="expression" dxfId="3612" priority="12731">
      <formula>IF($B36="Quoting",TRUE,FALSE)</formula>
    </cfRule>
    <cfRule type="expression" dxfId="3611" priority="12732">
      <formula>IF($B36="Quoting",TRUE,FALSE)</formula>
    </cfRule>
    <cfRule type="expression" dxfId="3610" priority="12733">
      <formula>IF($B36="Quoting",TRUE,FALSE)</formula>
    </cfRule>
    <cfRule type="expression" dxfId="3609" priority="12734">
      <formula>IF($B36="Quoting",TRUE,FALSE)</formula>
    </cfRule>
    <cfRule type="expression" dxfId="3608" priority="12735">
      <formula>IF($B36="Quoting",TRUE,FALSE)</formula>
    </cfRule>
    <cfRule type="expression" dxfId="3607" priority="12736">
      <formula>IF($B36="Quoting",TRUE,FALSE)</formula>
    </cfRule>
    <cfRule type="expression" dxfId="3606" priority="12737">
      <formula>IF($B36="Quoting",TRUE,FALSE)</formula>
    </cfRule>
    <cfRule type="expression" dxfId="3605" priority="12738">
      <formula>IF($B36="Quoting",TRUE,FALSE)</formula>
    </cfRule>
    <cfRule type="expression" dxfId="3604" priority="12739">
      <formula>IF($B36="Quoting",TRUE,FALSE)</formula>
    </cfRule>
    <cfRule type="expression" dxfId="3603" priority="12740">
      <formula>IF($B36="Quoting",TRUE,FALSE)</formula>
    </cfRule>
    <cfRule type="expression" dxfId="3602" priority="12741">
      <formula>IF($B36="Quoting",TRUE,FALSE)</formula>
    </cfRule>
    <cfRule type="expression" dxfId="3601" priority="12742">
      <formula>IF($B36="Quoting",TRUE,FALSE)</formula>
    </cfRule>
    <cfRule type="expression" dxfId="3600" priority="12743">
      <formula>IF($B36="Quoting",TRUE,FALSE)</formula>
    </cfRule>
    <cfRule type="expression" dxfId="3599" priority="12744">
      <formula>IF($B36="Quoting",TRUE,FALSE)</formula>
    </cfRule>
    <cfRule type="expression" dxfId="3598" priority="12745">
      <formula>IF($B36="Quoting",TRUE,FALSE)</formula>
    </cfRule>
    <cfRule type="expression" dxfId="3597" priority="12746">
      <formula>IF($B36="Quoting",TRUE,FALSE)</formula>
    </cfRule>
    <cfRule type="expression" dxfId="3596" priority="12747">
      <formula>IF($B36="Quoting",TRUE,FALSE)</formula>
    </cfRule>
    <cfRule type="expression" dxfId="3595" priority="12748">
      <formula>IF($B36="Quoting",TRUE,FALSE)</formula>
    </cfRule>
    <cfRule type="expression" dxfId="3594" priority="12749">
      <formula>IF($B36="Quoting",TRUE,FALSE)</formula>
    </cfRule>
    <cfRule type="expression" dxfId="3593" priority="12750">
      <formula>IF($B36="Quoting",TRUE,FALSE)</formula>
    </cfRule>
    <cfRule type="expression" dxfId="3592" priority="12751">
      <formula>IF($B36="Quoting",TRUE,FALSE)</formula>
    </cfRule>
    <cfRule type="expression" dxfId="3591" priority="12752">
      <formula>IF($B36="Quoting",TRUE,FALSE)</formula>
    </cfRule>
    <cfRule type="expression" dxfId="3590" priority="12753">
      <formula>IF($B36="Quoting",TRUE,FALSE)</formula>
    </cfRule>
    <cfRule type="expression" dxfId="3589" priority="12754">
      <formula>IF($B36="Quoting",TRUE,FALSE)</formula>
    </cfRule>
    <cfRule type="expression" dxfId="3588" priority="12755">
      <formula>IF($B36="Quoting",TRUE,FALSE)</formula>
    </cfRule>
    <cfRule type="expression" dxfId="3587" priority="12756">
      <formula>IF($B36="Quoting",TRUE,FALSE)</formula>
    </cfRule>
    <cfRule type="expression" dxfId="3586" priority="12757">
      <formula>IF($B36="Quoting",TRUE,FALSE)</formula>
    </cfRule>
    <cfRule type="expression" dxfId="3585" priority="12758">
      <formula>IF($B36="Quoting",TRUE,FALSE)</formula>
    </cfRule>
    <cfRule type="expression" dxfId="3584" priority="12759">
      <formula>IF($B36="Quoting",TRUE,FALSE)</formula>
    </cfRule>
    <cfRule type="expression" dxfId="3583" priority="12760">
      <formula>IF($B36="Quoting",TRUE,FALSE)</formula>
    </cfRule>
    <cfRule type="expression" dxfId="3582" priority="12761">
      <formula>IF($B36="Quoting",TRUE,FALSE)</formula>
    </cfRule>
    <cfRule type="expression" dxfId="3581" priority="12762">
      <formula>IF($B36="Quoting",TRUE,FALSE)</formula>
    </cfRule>
    <cfRule type="expression" dxfId="3580" priority="12763">
      <formula>IF($B36="Quoting",TRUE,FALSE)</formula>
    </cfRule>
    <cfRule type="expression" dxfId="3579" priority="12764">
      <formula>IF($B36="Quoting",TRUE,FALSE)</formula>
    </cfRule>
    <cfRule type="expression" dxfId="3578" priority="12765">
      <formula>IF($B36="Quoting",TRUE,FALSE)</formula>
    </cfRule>
    <cfRule type="expression" dxfId="3577" priority="12766">
      <formula>IF($B36="Quoting",TRUE,FALSE)</formula>
    </cfRule>
    <cfRule type="expression" dxfId="3576" priority="12767">
      <formula>IF($B36="Quoting",TRUE,FALSE)</formula>
    </cfRule>
    <cfRule type="expression" dxfId="3575" priority="12768">
      <formula>IF($B36="Quoting",TRUE,FALSE)</formula>
    </cfRule>
    <cfRule type="expression" dxfId="3574" priority="12769">
      <formula>IF($B36="Quoting",TRUE,FALSE)</formula>
    </cfRule>
    <cfRule type="expression" dxfId="3573" priority="12770">
      <formula>IF($B36="Quoting",TRUE,FALSE)</formula>
    </cfRule>
    <cfRule type="expression" dxfId="3572" priority="12771">
      <formula>IF($B36="Quoting",TRUE,FALSE)</formula>
    </cfRule>
    <cfRule type="expression" dxfId="3571" priority="12772">
      <formula>IF($B36="Quoting",TRUE,FALSE)</formula>
    </cfRule>
    <cfRule type="expression" dxfId="3570" priority="12773">
      <formula>IF($B36="Quoting",TRUE,FALSE)</formula>
    </cfRule>
    <cfRule type="expression" dxfId="3569" priority="12774">
      <formula>IF($B36="Quoting",TRUE,FALSE)</formula>
    </cfRule>
    <cfRule type="expression" dxfId="3568" priority="12775">
      <formula>IF($B36="Quoting",TRUE,FALSE)</formula>
    </cfRule>
    <cfRule type="expression" dxfId="3567" priority="12776">
      <formula>IF($B36="Quoting",TRUE,FALSE)</formula>
    </cfRule>
    <cfRule type="expression" dxfId="3566" priority="12777">
      <formula>IF($B36="Quoting",TRUE,FALSE)</formula>
    </cfRule>
    <cfRule type="expression" dxfId="3565" priority="12778">
      <formula>IF($B36="Quoting",TRUE,FALSE)</formula>
    </cfRule>
    <cfRule type="expression" dxfId="3564" priority="12779">
      <formula>IF($B36="Quoting",TRUE,FALSE)</formula>
    </cfRule>
    <cfRule type="expression" dxfId="3563" priority="12780">
      <formula>IF($B36="Quoting",TRUE,FALSE)</formula>
    </cfRule>
    <cfRule type="expression" dxfId="3562" priority="12781">
      <formula>IF($B36="Quoting",TRUE,FALSE)</formula>
    </cfRule>
    <cfRule type="expression" dxfId="3561" priority="12782">
      <formula>IF($B36="Quoting",TRUE,FALSE)</formula>
    </cfRule>
    <cfRule type="expression" dxfId="3560" priority="12783">
      <formula>IF($B36="Quoting",TRUE,FALSE)</formula>
    </cfRule>
    <cfRule type="expression" dxfId="3559" priority="12784">
      <formula>IF($B36="Quoting",TRUE,FALSE)</formula>
    </cfRule>
    <cfRule type="expression" dxfId="3558" priority="12785">
      <formula>IF($B36="Quoting",TRUE,FALSE)</formula>
    </cfRule>
    <cfRule type="expression" dxfId="3557" priority="12786">
      <formula>IF($B36="Quoting",TRUE,FALSE)</formula>
    </cfRule>
    <cfRule type="expression" dxfId="3556" priority="12787">
      <formula>IF($B36="Quoting",TRUE,FALSE)</formula>
    </cfRule>
    <cfRule type="expression" dxfId="3555" priority="12788">
      <formula>IF($B36="Quoting",TRUE,FALSE)</formula>
    </cfRule>
    <cfRule type="expression" dxfId="3554" priority="12789">
      <formula>IF($B36="Quoting",TRUE,FALSE)</formula>
    </cfRule>
    <cfRule type="expression" dxfId="3553" priority="12790">
      <formula>IF($B36="Quoting",TRUE,FALSE)</formula>
    </cfRule>
    <cfRule type="expression" dxfId="3552" priority="12791">
      <formula>IF($B36="Quoting",TRUE,FALSE)</formula>
    </cfRule>
    <cfRule type="expression" dxfId="3551" priority="12792">
      <formula>IF($B36="Quoting",TRUE,FALSE)</formula>
    </cfRule>
    <cfRule type="expression" dxfId="3550" priority="12793">
      <formula>IF($B36="Quoting",TRUE,FALSE)</formula>
    </cfRule>
    <cfRule type="expression" dxfId="3549" priority="12794">
      <formula>IF($B36="Quoting",TRUE,FALSE)</formula>
    </cfRule>
    <cfRule type="expression" dxfId="3548" priority="12795">
      <formula>IF($B36="Quoting",TRUE,FALSE)</formula>
    </cfRule>
    <cfRule type="expression" dxfId="3547" priority="12796">
      <formula>IF($B36="Quoting",TRUE,FALSE)</formula>
    </cfRule>
    <cfRule type="expression" dxfId="3546" priority="12797">
      <formula>IF($B36="Quoting",TRUE,FALSE)</formula>
    </cfRule>
    <cfRule type="expression" dxfId="3545" priority="12798">
      <formula>IF($B36="Quoting",TRUE,FALSE)</formula>
    </cfRule>
    <cfRule type="expression" dxfId="3544" priority="12799">
      <formula>IF($B36="Quoting",TRUE,FALSE)</formula>
    </cfRule>
    <cfRule type="expression" dxfId="3543" priority="12800">
      <formula>IF($B36="Quoting",TRUE,FALSE)</formula>
    </cfRule>
    <cfRule type="expression" dxfId="3542" priority="12801">
      <formula>IF($B36="Quoting",TRUE,FALSE)</formula>
    </cfRule>
    <cfRule type="expression" dxfId="3541" priority="12802">
      <formula>IF($B36="Quoting",TRUE,FALSE)</formula>
    </cfRule>
    <cfRule type="expression" dxfId="3540" priority="12803">
      <formula>IF($B36="Quoting",TRUE,FALSE)</formula>
    </cfRule>
    <cfRule type="expression" dxfId="3539" priority="12804">
      <formula>IF($B36="Quoting",TRUE,FALSE)</formula>
    </cfRule>
    <cfRule type="expression" dxfId="3538" priority="12805">
      <formula>IF($B36="Quoting",TRUE,FALSE)</formula>
    </cfRule>
    <cfRule type="expression" dxfId="3537" priority="12806">
      <formula>IF($B36="Quoting",TRUE,FALSE)</formula>
    </cfRule>
    <cfRule type="expression" dxfId="3536" priority="12807">
      <formula>IF($B36="Quoting",TRUE,FALSE)</formula>
    </cfRule>
    <cfRule type="expression" dxfId="3535" priority="12808">
      <formula>IF($B36="Quoting",TRUE,FALSE)</formula>
    </cfRule>
    <cfRule type="expression" dxfId="3534" priority="12809">
      <formula>IF($B36="Quoting",TRUE,FALSE)</formula>
    </cfRule>
    <cfRule type="expression" dxfId="3533" priority="12810">
      <formula>IF($B36="Quoting",TRUE,FALSE)</formula>
    </cfRule>
    <cfRule type="expression" dxfId="3532" priority="12811">
      <formula>IF($B36="Quoting",TRUE,FALSE)</formula>
    </cfRule>
    <cfRule type="expression" dxfId="3531" priority="12812">
      <formula>IF($B36="Quoting",TRUE,FALSE)</formula>
    </cfRule>
    <cfRule type="expression" dxfId="3530" priority="12813">
      <formula>IF($B36="Quoting",TRUE,FALSE)</formula>
    </cfRule>
    <cfRule type="expression" dxfId="3529" priority="12814">
      <formula>IF($B36="Quoting",TRUE,FALSE)</formula>
    </cfRule>
    <cfRule type="expression" dxfId="3528" priority="12815">
      <formula>IF($B36="Quoting",TRUE,FALSE)</formula>
    </cfRule>
    <cfRule type="expression" dxfId="3527" priority="12816">
      <formula>IF($B36="Quoting",TRUE,FALSE)</formula>
    </cfRule>
    <cfRule type="expression" dxfId="3526" priority="12817">
      <formula>IF($B36="Quoting",TRUE,FALSE)</formula>
    </cfRule>
    <cfRule type="expression" dxfId="3525" priority="12818">
      <formula>IF($B36="Quoting",TRUE,FALSE)</formula>
    </cfRule>
    <cfRule type="expression" dxfId="3524" priority="12819">
      <formula>IF($B36="Quoting",TRUE,FALSE)</formula>
    </cfRule>
    <cfRule type="expression" dxfId="3523" priority="12820">
      <formula>IF($B36="Quoting",TRUE,FALSE)</formula>
    </cfRule>
    <cfRule type="expression" dxfId="3522" priority="12821">
      <formula>IF($B36="Quoting",TRUE,FALSE)</formula>
    </cfRule>
    <cfRule type="expression" dxfId="3521" priority="12822">
      <formula>IF($B36="Quoting",TRUE,FALSE)</formula>
    </cfRule>
    <cfRule type="expression" dxfId="3520" priority="12823">
      <formula>IF($B36="Quoting",TRUE,FALSE)</formula>
    </cfRule>
    <cfRule type="expression" dxfId="3519" priority="12824">
      <formula>IF($B36="Quoting",TRUE,FALSE)</formula>
    </cfRule>
    <cfRule type="expression" dxfId="3518" priority="12825">
      <formula>IF($B36="Quoting",TRUE,FALSE)</formula>
    </cfRule>
    <cfRule type="expression" dxfId="3517" priority="12826">
      <formula>IF($B36="Quoting",TRUE,FALSE)</formula>
    </cfRule>
    <cfRule type="expression" dxfId="3516" priority="12827">
      <formula>IF($B36="Quoting",TRUE,FALSE)</formula>
    </cfRule>
    <cfRule type="expression" dxfId="3515" priority="12828">
      <formula>IF($B36="Quoting",TRUE,FALSE)</formula>
    </cfRule>
    <cfRule type="expression" dxfId="3514" priority="12829">
      <formula>IF($B36="Quoting",TRUE,FALSE)</formula>
    </cfRule>
    <cfRule type="expression" dxfId="3513" priority="12830">
      <formula>IF($B36="Quoting",TRUE,FALSE)</formula>
    </cfRule>
    <cfRule type="expression" dxfId="3512" priority="12831">
      <formula>IF($B36="Quoting",TRUE,FALSE)</formula>
    </cfRule>
    <cfRule type="expression" dxfId="3511" priority="12832">
      <formula>IF($B36="Quoting",TRUE,FALSE)</formula>
    </cfRule>
    <cfRule type="expression" dxfId="3510" priority="12833">
      <formula>IF($B36="Quoting",TRUE,FALSE)</formula>
    </cfRule>
    <cfRule type="expression" dxfId="3509" priority="12834">
      <formula>IF($B36="Quoting",TRUE,FALSE)</formula>
    </cfRule>
    <cfRule type="expression" dxfId="3508" priority="12835">
      <formula>IF($B36="Quoting",TRUE,FALSE)</formula>
    </cfRule>
    <cfRule type="expression" dxfId="3507" priority="12836">
      <formula>IF($B36="Quoting",TRUE,FALSE)</formula>
    </cfRule>
    <cfRule type="expression" dxfId="3506" priority="12837">
      <formula>IF($B36="Quoting",TRUE,FALSE)</formula>
    </cfRule>
    <cfRule type="expression" dxfId="3505" priority="12838">
      <formula>IF($B36="Quoting",TRUE,FALSE)</formula>
    </cfRule>
    <cfRule type="expression" dxfId="3504" priority="12839">
      <formula>IF($B36="Quoting",TRUE,FALSE)</formula>
    </cfRule>
    <cfRule type="expression" dxfId="3503" priority="12840">
      <formula>IF($B36="Quoting",TRUE,FALSE)</formula>
    </cfRule>
    <cfRule type="expression" dxfId="3502" priority="12841">
      <formula>IF($B36="Quoting",TRUE,FALSE)</formula>
    </cfRule>
    <cfRule type="expression" dxfId="3501" priority="12842">
      <formula>IF($B36="Quoting",TRUE,FALSE)</formula>
    </cfRule>
    <cfRule type="expression" dxfId="3500" priority="12843">
      <formula>IF($B36="Quoting",TRUE,FALSE)</formula>
    </cfRule>
    <cfRule type="expression" dxfId="3499" priority="12844">
      <formula>IF($B36="Quoting",TRUE,FALSE)</formula>
    </cfRule>
    <cfRule type="expression" dxfId="3498" priority="12845">
      <formula>IF($B36="Quoting",TRUE,FALSE)</formula>
    </cfRule>
    <cfRule type="expression" dxfId="3497" priority="12846">
      <formula>IF($B36="Quoting",TRUE,FALSE)</formula>
    </cfRule>
    <cfRule type="expression" dxfId="3496" priority="12847">
      <formula>IF($B36="Quoting",TRUE,FALSE)</formula>
    </cfRule>
    <cfRule type="expression" dxfId="3495" priority="12848">
      <formula>IF($B36="Quoting",TRUE,FALSE)</formula>
    </cfRule>
    <cfRule type="expression" dxfId="3494" priority="12849">
      <formula>IF($B36="Quoting",TRUE,FALSE)</formula>
    </cfRule>
    <cfRule type="expression" dxfId="3493" priority="12850">
      <formula>IF($B36="Quoting",TRUE,FALSE)</formula>
    </cfRule>
    <cfRule type="expression" dxfId="3492" priority="12851">
      <formula>IF($B36="Quoting",TRUE,FALSE)</formula>
    </cfRule>
    <cfRule type="expression" dxfId="3491" priority="12852">
      <formula>IF($B36="Quoting",TRUE,FALSE)</formula>
    </cfRule>
    <cfRule type="expression" dxfId="3490" priority="12853">
      <formula>IF($B36="Quoting",TRUE,FALSE)</formula>
    </cfRule>
    <cfRule type="expression" dxfId="3489" priority="12854">
      <formula>IF($B36="Quoting",TRUE,FALSE)</formula>
    </cfRule>
    <cfRule type="expression" dxfId="3488" priority="12855">
      <formula>IF($B36="Quoting",TRUE,FALSE)</formula>
    </cfRule>
    <cfRule type="expression" dxfId="3487" priority="12856">
      <formula>IF($B36="Quoting",TRUE,FALSE)</formula>
    </cfRule>
    <cfRule type="expression" dxfId="3486" priority="12857">
      <formula>IF($B36="Quoting",TRUE,FALSE)</formula>
    </cfRule>
    <cfRule type="expression" dxfId="3485" priority="12858">
      <formula>IF($B36="Quoting",TRUE,FALSE)</formula>
    </cfRule>
    <cfRule type="expression" dxfId="3484" priority="12859">
      <formula>IF($B36="Quoting",TRUE,FALSE)</formula>
    </cfRule>
    <cfRule type="expression" dxfId="3483" priority="12860">
      <formula>IF($B36="Quoting",TRUE,FALSE)</formula>
    </cfRule>
    <cfRule type="expression" dxfId="3482" priority="12861">
      <formula>IF($B36="Quoting",TRUE,FALSE)</formula>
    </cfRule>
    <cfRule type="expression" dxfId="3481" priority="12862">
      <formula>IF($B36="Quoting",TRUE,FALSE)</formula>
    </cfRule>
    <cfRule type="expression" dxfId="3480" priority="12863">
      <formula>IF($B36="Quoting",TRUE,FALSE)</formula>
    </cfRule>
    <cfRule type="expression" dxfId="3479" priority="12864">
      <formula>IF($B36="Quoting",TRUE,FALSE)</formula>
    </cfRule>
    <cfRule type="expression" dxfId="3478" priority="12865">
      <formula>IF($B36="Quoting",TRUE,FALSE)</formula>
    </cfRule>
    <cfRule type="expression" dxfId="3477" priority="12866">
      <formula>IF($B36="Quoting",TRUE,FALSE)</formula>
    </cfRule>
    <cfRule type="expression" dxfId="3476" priority="12867">
      <formula>IF($B36="Quoting",TRUE,FALSE)</formula>
    </cfRule>
    <cfRule type="expression" dxfId="3475" priority="12868">
      <formula>IF($B36="Quoting",TRUE,FALSE)</formula>
    </cfRule>
    <cfRule type="expression" dxfId="3474" priority="12869">
      <formula>IF($B36="Quoting",TRUE,FALSE)</formula>
    </cfRule>
    <cfRule type="expression" dxfId="3473" priority="12870">
      <formula>IF($B36="Quoting",TRUE,FALSE)</formula>
    </cfRule>
    <cfRule type="expression" dxfId="3472" priority="12871">
      <formula>IF($B36="Quoting",TRUE,FALSE)</formula>
    </cfRule>
    <cfRule type="expression" dxfId="3471" priority="12872">
      <formula>IF($B36="Quoting",TRUE,FALSE)</formula>
    </cfRule>
    <cfRule type="expression" dxfId="3470" priority="12873">
      <formula>IF($B36="Quoting",TRUE,FALSE)</formula>
    </cfRule>
    <cfRule type="expression" dxfId="3469" priority="12874">
      <formula>IF($B36="Quoting",TRUE,FALSE)</formula>
    </cfRule>
    <cfRule type="expression" dxfId="3468" priority="12875">
      <formula>IF($B36="Quoting",TRUE,FALSE)</formula>
    </cfRule>
    <cfRule type="expression" dxfId="3467" priority="12876">
      <formula>IF($B36="Quoting",TRUE,FALSE)</formula>
    </cfRule>
    <cfRule type="expression" dxfId="3466" priority="12877">
      <formula>IF($B36="Quoting",TRUE,FALSE)</formula>
    </cfRule>
    <cfRule type="expression" dxfId="3465" priority="12878">
      <formula>IF($B36="Quoting",TRUE,FALSE)</formula>
    </cfRule>
    <cfRule type="expression" dxfId="3464" priority="12879">
      <formula>IF($B36="Quoting",TRUE,FALSE)</formula>
    </cfRule>
    <cfRule type="expression" dxfId="3463" priority="12880">
      <formula>IF($B36="Quoting",TRUE,FALSE)</formula>
    </cfRule>
    <cfRule type="expression" dxfId="3462" priority="12881">
      <formula>IF($B36="Quoting",TRUE,FALSE)</formula>
    </cfRule>
    <cfRule type="expression" dxfId="3461" priority="12882">
      <formula>IF($B36="Quoting",TRUE,FALSE)</formula>
    </cfRule>
    <cfRule type="expression" dxfId="3460" priority="12883">
      <formula>IF($B36="Quoting",TRUE,FALSE)</formula>
    </cfRule>
    <cfRule type="expression" dxfId="3459" priority="12884">
      <formula>IF($B36="Quoting",TRUE,FALSE)</formula>
    </cfRule>
    <cfRule type="expression" dxfId="3458" priority="12885">
      <formula>IF($B36="Quoting",TRUE,FALSE)</formula>
    </cfRule>
    <cfRule type="expression" dxfId="3457" priority="12886">
      <formula>IF($B36="Quoting",TRUE,FALSE)</formula>
    </cfRule>
    <cfRule type="expression" dxfId="3456" priority="12887">
      <formula>IF($B36="Quoting",TRUE,FALSE)</formula>
    </cfRule>
    <cfRule type="expression" dxfId="3455" priority="12888">
      <formula>IF($B36="Quoting",TRUE,FALSE)</formula>
    </cfRule>
    <cfRule type="expression" dxfId="3454" priority="12889">
      <formula>IF($B36="Quoting",TRUE,FALSE)</formula>
    </cfRule>
    <cfRule type="expression" dxfId="3453" priority="12890">
      <formula>IF($B36="Quoting",TRUE,FALSE)</formula>
    </cfRule>
    <cfRule type="expression" dxfId="3452" priority="12891">
      <formula>IF($B36="Quoting",TRUE,FALSE)</formula>
    </cfRule>
    <cfRule type="expression" dxfId="3451" priority="12892">
      <formula>IF($B36="Quoting",TRUE,FALSE)</formula>
    </cfRule>
    <cfRule type="expression" dxfId="3450" priority="12893">
      <formula>IF($B36="Quoting",TRUE,FALSE)</formula>
    </cfRule>
    <cfRule type="expression" dxfId="3449" priority="12894">
      <formula>IF($B36="Quoting",TRUE,FALSE)</formula>
    </cfRule>
    <cfRule type="expression" dxfId="3448" priority="12895">
      <formula>IF($B36="Quoting",TRUE,FALSE)</formula>
    </cfRule>
    <cfRule type="expression" dxfId="3447" priority="12896">
      <formula>IF($B36="Quoting",TRUE,FALSE)</formula>
    </cfRule>
    <cfRule type="expression" dxfId="3446" priority="12897">
      <formula>IF($B36="Quoting",TRUE,FALSE)</formula>
    </cfRule>
    <cfRule type="expression" dxfId="3445" priority="12898">
      <formula>IF($B36="Quoting",TRUE,FALSE)</formula>
    </cfRule>
    <cfRule type="expression" dxfId="3444" priority="12899">
      <formula>IF($B36="Quoting",TRUE,FALSE)</formula>
    </cfRule>
    <cfRule type="expression" dxfId="3443" priority="12900">
      <formula>IF($B36="Quoting",TRUE,FALSE)</formula>
    </cfRule>
    <cfRule type="expression" dxfId="3442" priority="12901">
      <formula>IF($B36="Quoting",TRUE,FALSE)</formula>
    </cfRule>
    <cfRule type="expression" dxfId="3441" priority="12902">
      <formula>IF($B36="Quoting",TRUE,FALSE)</formula>
    </cfRule>
    <cfRule type="expression" dxfId="3440" priority="12903">
      <formula>IF($B36="Quoting",TRUE,FALSE)</formula>
    </cfRule>
    <cfRule type="expression" dxfId="3439" priority="12904">
      <formula>IF($B36="Quoting",TRUE,FALSE)</formula>
    </cfRule>
    <cfRule type="expression" dxfId="3438" priority="12905">
      <formula>IF($B36="Quoting",TRUE,FALSE)</formula>
    </cfRule>
    <cfRule type="expression" dxfId="3437" priority="12906">
      <formula>IF($B36="Quoting",TRUE,FALSE)</formula>
    </cfRule>
    <cfRule type="expression" dxfId="3436" priority="12907">
      <formula>IF($B36="Quoting",TRUE,FALSE)</formula>
    </cfRule>
    <cfRule type="expression" dxfId="3435" priority="12908">
      <formula>IF($B36="Quoting",TRUE,FALSE)</formula>
    </cfRule>
    <cfRule type="expression" dxfId="3434" priority="12909">
      <formula>IF($B36="Quoting",TRUE,FALSE)</formula>
    </cfRule>
    <cfRule type="expression" dxfId="3433" priority="12910">
      <formula>IF($B36="Quoting",TRUE,FALSE)</formula>
    </cfRule>
    <cfRule type="expression" dxfId="3432" priority="12911">
      <formula>IF($B36="Quoting",TRUE,FALSE)</formula>
    </cfRule>
    <cfRule type="expression" dxfId="3431" priority="12912">
      <formula>IF($B36="Quoting",TRUE,FALSE)</formula>
    </cfRule>
    <cfRule type="expression" dxfId="3430" priority="12913">
      <formula>IF($B36="Quoting",TRUE,FALSE)</formula>
    </cfRule>
    <cfRule type="expression" dxfId="3429" priority="12914">
      <formula>IF($B36="Quoting",TRUE,FALSE)</formula>
    </cfRule>
    <cfRule type="expression" dxfId="3428" priority="12915">
      <formula>IF($B36="Quoting",TRUE,FALSE)</formula>
    </cfRule>
    <cfRule type="expression" dxfId="3427" priority="12916">
      <formula>IF($B36="Quoting",TRUE,FALSE)</formula>
    </cfRule>
    <cfRule type="expression" dxfId="3426" priority="12917">
      <formula>IF($B36="Quoting",TRUE,FALSE)</formula>
    </cfRule>
    <cfRule type="expression" dxfId="3425" priority="12918">
      <formula>IF($B36="Quoting",TRUE,FALSE)</formula>
    </cfRule>
    <cfRule type="expression" dxfId="3424" priority="12919">
      <formula>IF($B36="Quoting",TRUE,FALSE)</formula>
    </cfRule>
    <cfRule type="expression" dxfId="3423" priority="12920">
      <formula>IF($B36="Quoting",TRUE,FALSE)</formula>
    </cfRule>
    <cfRule type="expression" dxfId="3422" priority="12921">
      <formula>IF($B36="Quoting",TRUE,FALSE)</formula>
    </cfRule>
    <cfRule type="expression" dxfId="3421" priority="12922">
      <formula>IF($B36="Quoting",TRUE,FALSE)</formula>
    </cfRule>
    <cfRule type="expression" dxfId="3420" priority="12923">
      <formula>IF($B36="Quoting",TRUE,FALSE)</formula>
    </cfRule>
    <cfRule type="expression" dxfId="3419" priority="12924">
      <formula>IF($B36="Quoting",TRUE,FALSE)</formula>
    </cfRule>
    <cfRule type="expression" dxfId="3418" priority="12925">
      <formula>IF($B36="Quoting",TRUE,FALSE)</formula>
    </cfRule>
    <cfRule type="expression" dxfId="3417" priority="12926">
      <formula>IF($B36="Quoting",TRUE,FALSE)</formula>
    </cfRule>
    <cfRule type="expression" dxfId="3416" priority="12927">
      <formula>IF($B36="Quoting",TRUE,FALSE)</formula>
    </cfRule>
    <cfRule type="expression" dxfId="3415" priority="12928">
      <formula>IF($B36="Quoting",TRUE,FALSE)</formula>
    </cfRule>
    <cfRule type="expression" dxfId="3414" priority="12929">
      <formula>IF($B36="Quoting",TRUE,FALSE)</formula>
    </cfRule>
    <cfRule type="expression" dxfId="3413" priority="12930">
      <formula>IF($B36="Quoting",TRUE,FALSE)</formula>
    </cfRule>
    <cfRule type="expression" dxfId="3412" priority="12931">
      <formula>IF($B36="Quoting",TRUE,FALSE)</formula>
    </cfRule>
    <cfRule type="expression" dxfId="3411" priority="12932">
      <formula>IF($B36="Quoting",TRUE,FALSE)</formula>
    </cfRule>
    <cfRule type="expression" dxfId="3410" priority="12933">
      <formula>IF($B36="Quoting",TRUE,FALSE)</formula>
    </cfRule>
    <cfRule type="expression" dxfId="3409" priority="12934">
      <formula>IF($B36="Quoting",TRUE,FALSE)</formula>
    </cfRule>
    <cfRule type="expression" dxfId="3408" priority="12935">
      <formula>IF($B36="Quoting",TRUE,FALSE)</formula>
    </cfRule>
    <cfRule type="expression" dxfId="3407" priority="12936">
      <formula>IF($B36="Quoting",TRUE,FALSE)</formula>
    </cfRule>
    <cfRule type="expression" dxfId="3406" priority="12937">
      <formula>IF($B36="Quoting",TRUE,FALSE)</formula>
    </cfRule>
    <cfRule type="expression" dxfId="3405" priority="12938">
      <formula>IF($B36="Quoting",TRUE,FALSE)</formula>
    </cfRule>
    <cfRule type="expression" dxfId="3404" priority="12939">
      <formula>IF($B36="Quoting",TRUE,FALSE)</formula>
    </cfRule>
    <cfRule type="expression" dxfId="3403" priority="12940">
      <formula>IF($B36="Quoting",TRUE,FALSE)</formula>
    </cfRule>
    <cfRule type="expression" dxfId="3402" priority="12941">
      <formula>IF($B36="Quoting",TRUE,FALSE)</formula>
    </cfRule>
    <cfRule type="expression" dxfId="3401" priority="12942">
      <formula>IF($B36="Quoting",TRUE,FALSE)</formula>
    </cfRule>
    <cfRule type="expression" dxfId="3400" priority="12943">
      <formula>IF($B36="Quoting",TRUE,FALSE)</formula>
    </cfRule>
    <cfRule type="expression" dxfId="3399" priority="12944">
      <formula>IF($B36="Quoting",TRUE,FALSE)</formula>
    </cfRule>
    <cfRule type="expression" dxfId="3398" priority="12945">
      <formula>IF($B36="Quoting",TRUE,FALSE)</formula>
    </cfRule>
    <cfRule type="expression" dxfId="3397" priority="12946">
      <formula>IF($B36="Quoting",TRUE,FALSE)</formula>
    </cfRule>
    <cfRule type="expression" dxfId="3396" priority="12947">
      <formula>IF($B36="Quoting",TRUE,FALSE)</formula>
    </cfRule>
    <cfRule type="expression" dxfId="3395" priority="12948">
      <formula>IF($B36="Quoting",TRUE,FALSE)</formula>
    </cfRule>
    <cfRule type="expression" dxfId="3394" priority="12949">
      <formula>IF($B36="Quoting",TRUE,FALSE)</formula>
    </cfRule>
    <cfRule type="expression" dxfId="3393" priority="12950">
      <formula>IF($B36="Quoting",TRUE,FALSE)</formula>
    </cfRule>
    <cfRule type="expression" dxfId="3392" priority="12951">
      <formula>IF($B36="Quoting",TRUE,FALSE)</formula>
    </cfRule>
    <cfRule type="expression" dxfId="3391" priority="12952">
      <formula>IF($B36="Quoting",TRUE,FALSE)</formula>
    </cfRule>
    <cfRule type="expression" dxfId="3390" priority="12953">
      <formula>IF($B36="Quoting",TRUE,FALSE)</formula>
    </cfRule>
    <cfRule type="expression" dxfId="3389" priority="12954">
      <formula>IF($B36="Quoting",TRUE,FALSE)</formula>
    </cfRule>
    <cfRule type="expression" dxfId="3388" priority="12955">
      <formula>IF($B36="Quoting",TRUE,FALSE)</formula>
    </cfRule>
    <cfRule type="expression" dxfId="3387" priority="12956">
      <formula>IF($B36="Quoting",TRUE,FALSE)</formula>
    </cfRule>
    <cfRule type="expression" dxfId="3386" priority="12957">
      <formula>IF($B36="Quoting",TRUE,FALSE)</formula>
    </cfRule>
    <cfRule type="expression" dxfId="3385" priority="12958">
      <formula>IF($B36="Quoting",TRUE,FALSE)</formula>
    </cfRule>
    <cfRule type="expression" dxfId="3384" priority="12959">
      <formula>IF($B36="Quoting",TRUE,FALSE)</formula>
    </cfRule>
    <cfRule type="expression" dxfId="3383" priority="12960">
      <formula>IF($B36="Quoting",TRUE,FALSE)</formula>
    </cfRule>
    <cfRule type="expression" dxfId="3382" priority="12961">
      <formula>IF($B36="Quoting",TRUE,FALSE)</formula>
    </cfRule>
    <cfRule type="expression" dxfId="3381" priority="12962">
      <formula>IF($B36="Quoting",TRUE,FALSE)</formula>
    </cfRule>
    <cfRule type="expression" dxfId="3380" priority="12963">
      <formula>IF($B36="Quoting",TRUE,FALSE)</formula>
    </cfRule>
    <cfRule type="expression" dxfId="3379" priority="12964">
      <formula>IF($B36="Quoting",TRUE,FALSE)</formula>
    </cfRule>
    <cfRule type="expression" dxfId="3378" priority="12965">
      <formula>IF($B36="Quoting",TRUE,FALSE)</formula>
    </cfRule>
    <cfRule type="expression" dxfId="3377" priority="12966">
      <formula>IF($B36="Quoting",TRUE,FALSE)</formula>
    </cfRule>
    <cfRule type="expression" dxfId="3376" priority="12967">
      <formula>IF($B36="Quoting",TRUE,FALSE)</formula>
    </cfRule>
    <cfRule type="expression" dxfId="3375" priority="12968">
      <formula>IF($B36="Quoting",TRUE,FALSE)</formula>
    </cfRule>
    <cfRule type="expression" dxfId="3374" priority="12969">
      <formula>IF($B36="Quoting",TRUE,FALSE)</formula>
    </cfRule>
    <cfRule type="expression" dxfId="3373" priority="12970">
      <formula>IF($B36="Quoting",TRUE,FALSE)</formula>
    </cfRule>
    <cfRule type="expression" dxfId="3372" priority="12971">
      <formula>IF($B36="Quoting",TRUE,FALSE)</formula>
    </cfRule>
    <cfRule type="expression" dxfId="3371" priority="12972">
      <formula>IF($B36="Quoting",TRUE,FALSE)</formula>
    </cfRule>
    <cfRule type="expression" dxfId="3370" priority="12973">
      <formula>IF($B36="Quoting",TRUE,FALSE)</formula>
    </cfRule>
    <cfRule type="expression" dxfId="3369" priority="12974">
      <formula>IF($B36="Quoting",TRUE,FALSE)</formula>
    </cfRule>
    <cfRule type="expression" dxfId="3368" priority="12975">
      <formula>IF($B36="Quoting",TRUE,FALSE)</formula>
    </cfRule>
    <cfRule type="expression" dxfId="3367" priority="12976">
      <formula>IF($B36="Quoting",TRUE,FALSE)</formula>
    </cfRule>
    <cfRule type="expression" dxfId="3366" priority="12977">
      <formula>IF($B36="Quoting",TRUE,FALSE)</formula>
    </cfRule>
    <cfRule type="expression" dxfId="3365" priority="12978">
      <formula>IF($B36="Quoting",TRUE,FALSE)</formula>
    </cfRule>
    <cfRule type="expression" dxfId="3364" priority="12979">
      <formula>IF($B36="Quoting",TRUE,FALSE)</formula>
    </cfRule>
    <cfRule type="expression" dxfId="3363" priority="12980">
      <formula>IF($B36="Quoting",TRUE,FALSE)</formula>
    </cfRule>
    <cfRule type="expression" dxfId="3362" priority="12981">
      <formula>IF($B36="Quoting",TRUE,FALSE)</formula>
    </cfRule>
    <cfRule type="expression" dxfId="3361" priority="12982">
      <formula>IF($B36="Quoting",TRUE,FALSE)</formula>
    </cfRule>
    <cfRule type="expression" dxfId="3360" priority="12983">
      <formula>IF($B36="Quoting",TRUE,FALSE)</formula>
    </cfRule>
    <cfRule type="expression" dxfId="3359" priority="12984">
      <formula>IF($B36="Quoting",TRUE,FALSE)</formula>
    </cfRule>
    <cfRule type="expression" dxfId="3358" priority="12985">
      <formula>IF($B36="Quoting",TRUE,FALSE)</formula>
    </cfRule>
    <cfRule type="expression" dxfId="3357" priority="12986">
      <formula>IF($B36="Quoting",TRUE,FALSE)</formula>
    </cfRule>
    <cfRule type="expression" dxfId="3356" priority="12987">
      <formula>IF($B36="Quoting",TRUE,FALSE)</formula>
    </cfRule>
    <cfRule type="expression" dxfId="3355" priority="12988">
      <formula>IF($B36="Quoting",TRUE,FALSE)</formula>
    </cfRule>
    <cfRule type="expression" dxfId="3354" priority="12989">
      <formula>IF($B36="Quoting",TRUE,FALSE)</formula>
    </cfRule>
    <cfRule type="expression" dxfId="3353" priority="12990">
      <formula>IF($B36="Quoting",TRUE,FALSE)</formula>
    </cfRule>
    <cfRule type="expression" dxfId="3352" priority="12991">
      <formula>IF($B36="Quoting",TRUE,FALSE)</formula>
    </cfRule>
    <cfRule type="expression" dxfId="3351" priority="12992">
      <formula>IF($B36="Quoting",TRUE,FALSE)</formula>
    </cfRule>
    <cfRule type="expression" dxfId="3350" priority="12993">
      <formula>IF($B36="Quoting",TRUE,FALSE)</formula>
    </cfRule>
    <cfRule type="expression" dxfId="3349" priority="12994">
      <formula>IF($B36="Quoting",TRUE,FALSE)</formula>
    </cfRule>
    <cfRule type="expression" dxfId="3348" priority="12995">
      <formula>IF($B36="Quoting",TRUE,FALSE)</formula>
    </cfRule>
    <cfRule type="expression" dxfId="3347" priority="12996">
      <formula>IF($B36="Quoting",TRUE,FALSE)</formula>
    </cfRule>
    <cfRule type="expression" dxfId="3346" priority="12997">
      <formula>IF($B36="Quoting",TRUE,FALSE)</formula>
    </cfRule>
    <cfRule type="expression" dxfId="3345" priority="12998">
      <formula>IF($B36="Quoting",TRUE,FALSE)</formula>
    </cfRule>
    <cfRule type="expression" dxfId="3344" priority="12999">
      <formula>IF($B36="Quoting",TRUE,FALSE)</formula>
    </cfRule>
    <cfRule type="expression" dxfId="3343" priority="13000">
      <formula>IF($B36="Quoting",TRUE,FALSE)</formula>
    </cfRule>
    <cfRule type="expression" dxfId="3342" priority="13001">
      <formula>IF($B36="Quoting",TRUE,FALSE)</formula>
    </cfRule>
    <cfRule type="expression" dxfId="3341" priority="13002">
      <formula>IF($B36="Quoting",TRUE,FALSE)</formula>
    </cfRule>
    <cfRule type="expression" dxfId="3340" priority="13003">
      <formula>IF($B36="Quoting",TRUE,FALSE)</formula>
    </cfRule>
    <cfRule type="expression" dxfId="3339" priority="13004">
      <formula>IF($B36="Quoting",TRUE,FALSE)</formula>
    </cfRule>
    <cfRule type="expression" dxfId="3338" priority="13005">
      <formula>IF($B36="Quoting",TRUE,FALSE)</formula>
    </cfRule>
    <cfRule type="expression" dxfId="3337" priority="13006">
      <formula>IF($B36="Quoting",TRUE,FALSE)</formula>
    </cfRule>
    <cfRule type="expression" dxfId="3336" priority="13007">
      <formula>IF($B36="Quoting",TRUE,FALSE)</formula>
    </cfRule>
    <cfRule type="expression" dxfId="3335" priority="13008">
      <formula>IF($B36="Quoting",TRUE,FALSE)</formula>
    </cfRule>
    <cfRule type="expression" dxfId="3334" priority="13009">
      <formula>IF($B36="Quoting",TRUE,FALSE)</formula>
    </cfRule>
    <cfRule type="expression" dxfId="3333" priority="13010">
      <formula>IF($B36="Quoting",TRUE,FALSE)</formula>
    </cfRule>
    <cfRule type="expression" dxfId="3332" priority="13011">
      <formula>IF($B36="Quoting",TRUE,FALSE)</formula>
    </cfRule>
    <cfRule type="expression" dxfId="3331" priority="13012">
      <formula>IF($B36="Quoting",TRUE,FALSE)</formula>
    </cfRule>
    <cfRule type="expression" dxfId="3330" priority="13013">
      <formula>IF($B36="Quoting",TRUE,FALSE)</formula>
    </cfRule>
    <cfRule type="expression" dxfId="3329" priority="13014">
      <formula>IF($B36="Quoting",TRUE,FALSE)</formula>
    </cfRule>
    <cfRule type="expression" dxfId="3328" priority="13015">
      <formula>IF($B36="Quoting",TRUE,FALSE)</formula>
    </cfRule>
    <cfRule type="expression" dxfId="3327" priority="13016">
      <formula>IF($B36="Quoting",TRUE,FALSE)</formula>
    </cfRule>
    <cfRule type="expression" dxfId="3326" priority="13017">
      <formula>IF($B36="Quoting",TRUE,FALSE)</formula>
    </cfRule>
    <cfRule type="expression" dxfId="3325" priority="13018">
      <formula>IF($B36="Quoting",TRUE,FALSE)</formula>
    </cfRule>
    <cfRule type="expression" dxfId="3324" priority="13019">
      <formula>IF($B36="Quoting",TRUE,FALSE)</formula>
    </cfRule>
    <cfRule type="expression" dxfId="3323" priority="13020">
      <formula>IF($B36="Quoting",TRUE,FALSE)</formula>
    </cfRule>
    <cfRule type="expression" dxfId="3322" priority="13021">
      <formula>IF($B36="Quoting",TRUE,FALSE)</formula>
    </cfRule>
    <cfRule type="expression" dxfId="3321" priority="13022">
      <formula>IF($B36="Quoting",TRUE,FALSE)</formula>
    </cfRule>
    <cfRule type="expression" dxfId="3320" priority="13023">
      <formula>IF($B36="Quoting",TRUE,FALSE)</formula>
    </cfRule>
    <cfRule type="expression" dxfId="3319" priority="13024">
      <formula>IF($B36="Quoting",TRUE,FALSE)</formula>
    </cfRule>
    <cfRule type="expression" dxfId="3318" priority="13025">
      <formula>IF($B36="Quoting",TRUE,FALSE)</formula>
    </cfRule>
    <cfRule type="expression" dxfId="3317" priority="13026">
      <formula>IF($B36="Quoting",TRUE,FALSE)</formula>
    </cfRule>
    <cfRule type="expression" dxfId="3316" priority="13027">
      <formula>IF($B36="Quoting",TRUE,FALSE)</formula>
    </cfRule>
    <cfRule type="expression" dxfId="3315" priority="13028">
      <formula>IF($B36="Quoting",TRUE,FALSE)</formula>
    </cfRule>
    <cfRule type="expression" dxfId="3314" priority="13029">
      <formula>IF($B36="Quoting",TRUE,FALSE)</formula>
    </cfRule>
    <cfRule type="expression" dxfId="3313" priority="13030">
      <formula>IF($B36="Quoting",TRUE,FALSE)</formula>
    </cfRule>
    <cfRule type="expression" dxfId="3312" priority="13031">
      <formula>IF($B36="Quoting",TRUE,FALSE)</formula>
    </cfRule>
    <cfRule type="expression" dxfId="3311" priority="13032">
      <formula>IF($B36="Quoting",TRUE,FALSE)</formula>
    </cfRule>
    <cfRule type="expression" dxfId="3310" priority="13033">
      <formula>IF($B36="Quoting",TRUE,FALSE)</formula>
    </cfRule>
    <cfRule type="expression" dxfId="3309" priority="13034">
      <formula>IF($B36="Quoting",TRUE,FALSE)</formula>
    </cfRule>
    <cfRule type="expression" dxfId="3308" priority="13035">
      <formula>IF($B36="Quoting",TRUE,FALSE)</formula>
    </cfRule>
    <cfRule type="expression" dxfId="3307" priority="13036">
      <formula>IF($B36="Quoting",TRUE,FALSE)</formula>
    </cfRule>
    <cfRule type="expression" dxfId="3306" priority="13037">
      <formula>IF($B36="Quoting",TRUE,FALSE)</formula>
    </cfRule>
    <cfRule type="expression" dxfId="3305" priority="13038">
      <formula>IF($B36="Quoting",TRUE,FALSE)</formula>
    </cfRule>
    <cfRule type="expression" dxfId="3304" priority="13039">
      <formula>IF($B36="Quoting",TRUE,FALSE)</formula>
    </cfRule>
    <cfRule type="expression" dxfId="3303" priority="13040">
      <formula>IF($B36="Quoting",TRUE,FALSE)</formula>
    </cfRule>
    <cfRule type="expression" dxfId="3302" priority="13041">
      <formula>IF($B36="Quoting",TRUE,FALSE)</formula>
    </cfRule>
    <cfRule type="expression" dxfId="3301" priority="13042">
      <formula>IF($B36="Quoting",TRUE,FALSE)</formula>
    </cfRule>
    <cfRule type="expression" dxfId="3300" priority="13043">
      <formula>IF($B36="Quoting",TRUE,FALSE)</formula>
    </cfRule>
    <cfRule type="expression" dxfId="3299" priority="13044">
      <formula>IF($B36="Quoting",TRUE,FALSE)</formula>
    </cfRule>
    <cfRule type="expression" dxfId="3298" priority="13045">
      <formula>IF($B36="Quoting",TRUE,FALSE)</formula>
    </cfRule>
    <cfRule type="expression" dxfId="3297" priority="13046">
      <formula>IF($B36="Quoting",TRUE,FALSE)</formula>
    </cfRule>
    <cfRule type="expression" dxfId="3296" priority="13047">
      <formula>IF($B36="Quoting",TRUE,FALSE)</formula>
    </cfRule>
    <cfRule type="expression" dxfId="3295" priority="13048">
      <formula>IF($B36="Quoting",TRUE,FALSE)</formula>
    </cfRule>
    <cfRule type="expression" dxfId="3294" priority="13049">
      <formula>IF($B36="Quoting",TRUE,FALSE)</formula>
    </cfRule>
    <cfRule type="expression" dxfId="3293" priority="13050">
      <formula>IF($B36="Quoting",TRUE,FALSE)</formula>
    </cfRule>
    <cfRule type="expression" dxfId="3292" priority="13051">
      <formula>IF($B36="Quoting",TRUE,FALSE)</formula>
    </cfRule>
    <cfRule type="expression" dxfId="3291" priority="13052">
      <formula>IF($B36="Quoting",TRUE,FALSE)</formula>
    </cfRule>
    <cfRule type="expression" dxfId="3290" priority="13053">
      <formula>IF($B36="Quoting",TRUE,FALSE)</formula>
    </cfRule>
    <cfRule type="expression" dxfId="3289" priority="13054">
      <formula>IF($B36="Quoting",TRUE,FALSE)</formula>
    </cfRule>
    <cfRule type="expression" dxfId="3288" priority="13055">
      <formula>IF($B36="Quoting",TRUE,FALSE)</formula>
    </cfRule>
    <cfRule type="expression" dxfId="3287" priority="13056">
      <formula>IF($B36="Quoting",TRUE,FALSE)</formula>
    </cfRule>
    <cfRule type="expression" dxfId="3286" priority="13057">
      <formula>IF($B36="Quoting",TRUE,FALSE)</formula>
    </cfRule>
    <cfRule type="expression" dxfId="3285" priority="13058">
      <formula>IF($B36="Quoting",TRUE,FALSE)</formula>
    </cfRule>
    <cfRule type="expression" dxfId="3284" priority="13059">
      <formula>IF($B36="Quoting",TRUE,FALSE)</formula>
    </cfRule>
    <cfRule type="expression" dxfId="3283" priority="13060">
      <formula>IF($B36="Quoting",TRUE,FALSE)</formula>
    </cfRule>
    <cfRule type="expression" dxfId="3282" priority="13061">
      <formula>IF($B36="Quoting",TRUE,FALSE)</formula>
    </cfRule>
    <cfRule type="expression" dxfId="3281" priority="13062">
      <formula>IF($B36="Quoting",TRUE,FALSE)</formula>
    </cfRule>
    <cfRule type="expression" dxfId="3280" priority="13063">
      <formula>IF($B36="Quoting",TRUE,FALSE)</formula>
    </cfRule>
    <cfRule type="expression" dxfId="3279" priority="13064">
      <formula>IF($B36="Quoting",TRUE,FALSE)</formula>
    </cfRule>
    <cfRule type="expression" dxfId="3278" priority="13065">
      <formula>IF($B36="Quoting",TRUE,FALSE)</formula>
    </cfRule>
    <cfRule type="expression" dxfId="3277" priority="13066">
      <formula>IF($B36="Quoting",TRUE,FALSE)</formula>
    </cfRule>
    <cfRule type="expression" dxfId="3276" priority="13067">
      <formula>IF($B36="Quoting",TRUE,FALSE)</formula>
    </cfRule>
    <cfRule type="expression" dxfId="3275" priority="13068">
      <formula>IF($B36="Quoting",TRUE,FALSE)</formula>
    </cfRule>
    <cfRule type="expression" dxfId="3274" priority="13069">
      <formula>IF($B36="Quoting",TRUE,FALSE)</formula>
    </cfRule>
    <cfRule type="expression" dxfId="3273" priority="13070">
      <formula>IF($B36="Quoting",TRUE,FALSE)</formula>
    </cfRule>
    <cfRule type="expression" dxfId="3272" priority="13071">
      <formula>IF($B36="Quoting",TRUE,FALSE)</formula>
    </cfRule>
    <cfRule type="expression" dxfId="3271" priority="13072">
      <formula>IF($B36="Quoting",TRUE,FALSE)</formula>
    </cfRule>
    <cfRule type="expression" dxfId="3270" priority="13073">
      <formula>IF($B36="Quoting",TRUE,FALSE)</formula>
    </cfRule>
    <cfRule type="expression" dxfId="3269" priority="13074">
      <formula>IF($B36="Quoting",TRUE,FALSE)</formula>
    </cfRule>
    <cfRule type="expression" dxfId="3268" priority="13075">
      <formula>IF($B36="Quoting",TRUE,FALSE)</formula>
    </cfRule>
    <cfRule type="expression" dxfId="3267" priority="13076">
      <formula>IF($B36="Quoting",TRUE,FALSE)</formula>
    </cfRule>
    <cfRule type="expression" dxfId="3266" priority="13077">
      <formula>IF($B36="Quoting",TRUE,FALSE)</formula>
    </cfRule>
    <cfRule type="expression" dxfId="3265" priority="13078">
      <formula>IF($B36="Quoting",TRUE,FALSE)</formula>
    </cfRule>
    <cfRule type="expression" dxfId="3264" priority="13079">
      <formula>IF($B36="Quoting",TRUE,FALSE)</formula>
    </cfRule>
    <cfRule type="expression" dxfId="3263" priority="13080">
      <formula>IF($B36="Quoting",TRUE,FALSE)</formula>
    </cfRule>
    <cfRule type="expression" dxfId="3262" priority="13081">
      <formula>IF($B36="Quoting",TRUE,FALSE)</formula>
    </cfRule>
    <cfRule type="expression" dxfId="3261" priority="13082">
      <formula>IF($B36="Quoting",TRUE,FALSE)</formula>
    </cfRule>
    <cfRule type="expression" dxfId="3260" priority="13083">
      <formula>IF($B36="Quoting",TRUE,FALSE)</formula>
    </cfRule>
    <cfRule type="expression" dxfId="3259" priority="13084">
      <formula>IF($B36="Quoting",TRUE,FALSE)</formula>
    </cfRule>
    <cfRule type="expression" dxfId="3258" priority="13085">
      <formula>IF($B36="Quoting",TRUE,FALSE)</formula>
    </cfRule>
    <cfRule type="expression" dxfId="3257" priority="13086">
      <formula>IF($B36="Quoting",TRUE,FALSE)</formula>
    </cfRule>
    <cfRule type="expression" dxfId="3256" priority="13087">
      <formula>IF($B36="Quoting",TRUE,FALSE)</formula>
    </cfRule>
    <cfRule type="expression" dxfId="3255" priority="13088">
      <formula>IF($B36="Quoting",TRUE,FALSE)</formula>
    </cfRule>
    <cfRule type="expression" dxfId="3254" priority="13089">
      <formula>IF($B36="Quoting",TRUE,FALSE)</formula>
    </cfRule>
    <cfRule type="expression" dxfId="3253" priority="13090">
      <formula>IF($B36="Quoting",TRUE,FALSE)</formula>
    </cfRule>
    <cfRule type="expression" dxfId="3252" priority="13091">
      <formula>IF($B36="Quoting",TRUE,FALSE)</formula>
    </cfRule>
    <cfRule type="expression" dxfId="3251" priority="13092">
      <formula>IF($B36="Quoting",TRUE,FALSE)</formula>
    </cfRule>
    <cfRule type="expression" dxfId="3250" priority="13093">
      <formula>IF($B36="Quoting",TRUE,FALSE)</formula>
    </cfRule>
    <cfRule type="expression" dxfId="3249" priority="13094">
      <formula>IF($B36="Quoting",TRUE,FALSE)</formula>
    </cfRule>
    <cfRule type="expression" dxfId="3248" priority="13095">
      <formula>IF($B36="Quoting",TRUE,FALSE)</formula>
    </cfRule>
    <cfRule type="expression" dxfId="3247" priority="13096">
      <formula>IF($B36="Quoting",TRUE,FALSE)</formula>
    </cfRule>
    <cfRule type="expression" dxfId="3246" priority="13097">
      <formula>IF($B36="Quoting",TRUE,FALSE)</formula>
    </cfRule>
    <cfRule type="expression" dxfId="3245" priority="13098">
      <formula>IF($B36="Quoting",TRUE,FALSE)</formula>
    </cfRule>
    <cfRule type="expression" dxfId="3244" priority="13099">
      <formula>IF($B36="Quoting",TRUE,FALSE)</formula>
    </cfRule>
    <cfRule type="expression" dxfId="3243" priority="13100">
      <formula>IF($B36="Quoting",TRUE,FALSE)</formula>
    </cfRule>
    <cfRule type="expression" dxfId="3242" priority="13101">
      <formula>IF($B36="Quoting",TRUE,FALSE)</formula>
    </cfRule>
    <cfRule type="expression" dxfId="3241" priority="13102">
      <formula>IF($B36="Quoting",TRUE,FALSE)</formula>
    </cfRule>
    <cfRule type="expression" dxfId="3240" priority="13103">
      <formula>IF($B36="Quoting",TRUE,FALSE)</formula>
    </cfRule>
    <cfRule type="expression" dxfId="3239" priority="13104">
      <formula>IF($B36="Quoting",TRUE,FALSE)</formula>
    </cfRule>
    <cfRule type="expression" dxfId="3238" priority="13105">
      <formula>IF($B36="Quoting",TRUE,FALSE)</formula>
    </cfRule>
    <cfRule type="expression" dxfId="3237" priority="13106">
      <formula>IF($B36="Quoting",TRUE,FALSE)</formula>
    </cfRule>
    <cfRule type="expression" dxfId="3236" priority="13107">
      <formula>IF($B36="Quoting",TRUE,FALSE)</formula>
    </cfRule>
    <cfRule type="expression" dxfId="3235" priority="13108">
      <formula>IF($B36="Quoting",TRUE,FALSE)</formula>
    </cfRule>
    <cfRule type="expression" dxfId="3234" priority="13109">
      <formula>IF($B36="Quoting",TRUE,FALSE)</formula>
    </cfRule>
    <cfRule type="expression" dxfId="3233" priority="13110">
      <formula>IF($B36="Quoting",TRUE,FALSE)</formula>
    </cfRule>
    <cfRule type="expression" dxfId="3232" priority="13111">
      <formula>IF($B36="Quoting",TRUE,FALSE)</formula>
    </cfRule>
    <cfRule type="expression" dxfId="3231" priority="13112">
      <formula>IF($B36="Quoting",TRUE,FALSE)</formula>
    </cfRule>
    <cfRule type="expression" dxfId="3230" priority="13113">
      <formula>IF($B36="Quoting",TRUE,FALSE)</formula>
    </cfRule>
    <cfRule type="expression" dxfId="3229" priority="13114">
      <formula>IF($B36="Quoting",TRUE,FALSE)</formula>
    </cfRule>
    <cfRule type="expression" dxfId="3228" priority="13115">
      <formula>IF($B36="Quoting",TRUE,FALSE)</formula>
    </cfRule>
    <cfRule type="expression" dxfId="3227" priority="13116">
      <formula>IF($B36="Quoting",TRUE,FALSE)</formula>
    </cfRule>
    <cfRule type="expression" dxfId="3226" priority="13117">
      <formula>IF($B36="Quoting",TRUE,FALSE)</formula>
    </cfRule>
    <cfRule type="expression" dxfId="3225" priority="13118">
      <formula>IF($B36="Quoting",TRUE,FALSE)</formula>
    </cfRule>
    <cfRule type="expression" dxfId="3224" priority="13119">
      <formula>IF($B36="Quoting",TRUE,FALSE)</formula>
    </cfRule>
    <cfRule type="expression" dxfId="3223" priority="13120">
      <formula>IF($B36="Quoting",TRUE,FALSE)</formula>
    </cfRule>
    <cfRule type="expression" dxfId="3222" priority="13121">
      <formula>IF($B36="Quoting",TRUE,FALSE)</formula>
    </cfRule>
    <cfRule type="expression" dxfId="3221" priority="13122">
      <formula>IF($B36="Quoting",TRUE,FALSE)</formula>
    </cfRule>
    <cfRule type="expression" dxfId="3220" priority="13123">
      <formula>IF($B36="Quoting",TRUE,FALSE)</formula>
    </cfRule>
    <cfRule type="expression" dxfId="3219" priority="13124">
      <formula>IF($B36="Quoting",TRUE,FALSE)</formula>
    </cfRule>
    <cfRule type="expression" dxfId="3218" priority="13125">
      <formula>IF($B36="Quoting",TRUE,FALSE)</formula>
    </cfRule>
    <cfRule type="expression" dxfId="3217" priority="13126">
      <formula>IF($B36="Quoting",TRUE,FALSE)</formula>
    </cfRule>
    <cfRule type="expression" dxfId="3216" priority="13127">
      <formula>IF($B36="Quoting",TRUE,FALSE)</formula>
    </cfRule>
    <cfRule type="expression" dxfId="3215" priority="13128">
      <formula>IF($B36="Quoting",TRUE,FALSE)</formula>
    </cfRule>
    <cfRule type="expression" dxfId="3214" priority="13129">
      <formula>IF($B36="Quoting",TRUE,FALSE)</formula>
    </cfRule>
    <cfRule type="expression" dxfId="3213" priority="13130">
      <formula>IF($B36="Quoting",TRUE,FALSE)</formula>
    </cfRule>
    <cfRule type="expression" dxfId="3212" priority="13131">
      <formula>IF($B36="Quoting",TRUE,FALSE)</formula>
    </cfRule>
    <cfRule type="expression" dxfId="3211" priority="13132">
      <formula>IF($B36="Quoting",TRUE,FALSE)</formula>
    </cfRule>
    <cfRule type="expression" dxfId="3210" priority="13133">
      <formula>IF($B36="Quoting",TRUE,FALSE)</formula>
    </cfRule>
    <cfRule type="expression" dxfId="3209" priority="13134">
      <formula>IF($B36="Quoting",TRUE,FALSE)</formula>
    </cfRule>
    <cfRule type="expression" dxfId="3208" priority="13135">
      <formula>IF($B36="Quoting",TRUE,FALSE)</formula>
    </cfRule>
    <cfRule type="expression" dxfId="3207" priority="13136">
      <formula>IF($B36="Quoting",TRUE,FALSE)</formula>
    </cfRule>
    <cfRule type="expression" dxfId="3206" priority="13137">
      <formula>IF($B36="Quoting",TRUE,FALSE)</formula>
    </cfRule>
    <cfRule type="expression" dxfId="3205" priority="13138">
      <formula>IF($B36="Quoting",TRUE,FALSE)</formula>
    </cfRule>
    <cfRule type="expression" dxfId="3204" priority="13139">
      <formula>IF($B36="Quoting",TRUE,FALSE)</formula>
    </cfRule>
    <cfRule type="expression" dxfId="3203" priority="13140">
      <formula>IF($B36="Quoting",TRUE,FALSE)</formula>
    </cfRule>
    <cfRule type="expression" dxfId="3202" priority="13141">
      <formula>IF($B36="Quoting",TRUE,FALSE)</formula>
    </cfRule>
    <cfRule type="expression" dxfId="3201" priority="13142">
      <formula>IF($B36="Quoting",TRUE,FALSE)</formula>
    </cfRule>
    <cfRule type="expression" dxfId="3200" priority="13143">
      <formula>IF($B36="Quoting",TRUE,FALSE)</formula>
    </cfRule>
    <cfRule type="expression" dxfId="3199" priority="13144">
      <formula>IF($B36="Quoting",TRUE,FALSE)</formula>
    </cfRule>
    <cfRule type="expression" dxfId="3198" priority="13145">
      <formula>IF($B36="Quoting",TRUE,FALSE)</formula>
    </cfRule>
    <cfRule type="expression" dxfId="3197" priority="13146">
      <formula>IF($B36="Quoting",TRUE,FALSE)</formula>
    </cfRule>
    <cfRule type="expression" dxfId="3196" priority="13147">
      <formula>IF($B36="Quoting",TRUE,FALSE)</formula>
    </cfRule>
    <cfRule type="expression" dxfId="3195" priority="13148">
      <formula>IF($B36="Quoting",TRUE,FALSE)</formula>
    </cfRule>
    <cfRule type="expression" dxfId="3194" priority="13149">
      <formula>IF($B36="Quoting",TRUE,FALSE)</formula>
    </cfRule>
    <cfRule type="expression" dxfId="3193" priority="13150">
      <formula>IF($B36="Quoting",TRUE,FALSE)</formula>
    </cfRule>
    <cfRule type="expression" dxfId="3192" priority="13151">
      <formula>IF($B36="Quoting",TRUE,FALSE)</formula>
    </cfRule>
    <cfRule type="expression" dxfId="3191" priority="13152">
      <formula>IF($B36="Quoting",TRUE,FALSE)</formula>
    </cfRule>
    <cfRule type="expression" dxfId="3190" priority="13153">
      <formula>IF($B36="Quoting",TRUE,FALSE)</formula>
    </cfRule>
    <cfRule type="expression" dxfId="3189" priority="13154">
      <formula>IF($B36="Quoting",TRUE,FALSE)</formula>
    </cfRule>
    <cfRule type="expression" dxfId="3188" priority="13155">
      <formula>IF($B36="Quoting",TRUE,FALSE)</formula>
    </cfRule>
    <cfRule type="expression" dxfId="3187" priority="13156">
      <formula>IF($B36="Quoting",TRUE,FALSE)</formula>
    </cfRule>
    <cfRule type="expression" dxfId="3186" priority="13157">
      <formula>IF($B36="Quoting",TRUE,FALSE)</formula>
    </cfRule>
    <cfRule type="expression" dxfId="3185" priority="13158">
      <formula>IF($B36="Quoting",TRUE,FALSE)</formula>
    </cfRule>
    <cfRule type="expression" dxfId="3184" priority="13159">
      <formula>IF($B36="Quoting",TRUE,FALSE)</formula>
    </cfRule>
    <cfRule type="expression" dxfId="3183" priority="13160">
      <formula>IF($B36="Quoting",TRUE,FALSE)</formula>
    </cfRule>
    <cfRule type="expression" dxfId="3182" priority="13161">
      <formula>IF($B36="Quoting",TRUE,FALSE)</formula>
    </cfRule>
    <cfRule type="expression" dxfId="3181" priority="13162">
      <formula>IF($B36="Quoting",TRUE,FALSE)</formula>
    </cfRule>
    <cfRule type="expression" dxfId="3180" priority="13163">
      <formula>IF($B36="Quoting",TRUE,FALSE)</formula>
    </cfRule>
    <cfRule type="expression" dxfId="3179" priority="13164">
      <formula>IF($B36="Quoting",TRUE,FALSE)</formula>
    </cfRule>
    <cfRule type="expression" dxfId="3178" priority="13165">
      <formula>IF($B36="Quoting",TRUE,FALSE)</formula>
    </cfRule>
    <cfRule type="expression" dxfId="3177" priority="13166">
      <formula>IF($B36="Quoting",TRUE,FALSE)</formula>
    </cfRule>
    <cfRule type="expression" dxfId="3176" priority="13167">
      <formula>IF($B36="Quoting",TRUE,FALSE)</formula>
    </cfRule>
    <cfRule type="expression" dxfId="3175" priority="13168">
      <formula>IF($B36="Quoting",TRUE,FALSE)</formula>
    </cfRule>
    <cfRule type="expression" dxfId="3174" priority="13169">
      <formula>IF($B36="Quoting",TRUE,FALSE)</formula>
    </cfRule>
    <cfRule type="expression" dxfId="3173" priority="13170">
      <formula>IF($B36="Quoting",TRUE,FALSE)</formula>
    </cfRule>
    <cfRule type="expression" dxfId="3172" priority="13171">
      <formula>IF($B36="Quoting",TRUE,FALSE)</formula>
    </cfRule>
    <cfRule type="expression" dxfId="3171" priority="13172">
      <formula>IF($B36="Quoting",TRUE,FALSE)</formula>
    </cfRule>
    <cfRule type="expression" dxfId="3170" priority="13173">
      <formula>IF($B36="Quoting",TRUE,FALSE)</formula>
    </cfRule>
    <cfRule type="expression" dxfId="3169" priority="13174">
      <formula>IF($B36="Quoting",TRUE,FALSE)</formula>
    </cfRule>
    <cfRule type="expression" dxfId="3168" priority="13175">
      <formula>IF($B36="Quoting",TRUE,FALSE)</formula>
    </cfRule>
    <cfRule type="expression" dxfId="3167" priority="13176">
      <formula>IF($B36="Quoting",TRUE,FALSE)</formula>
    </cfRule>
    <cfRule type="expression" dxfId="3166" priority="13177">
      <formula>IF($B36="Quoting",TRUE,FALSE)</formula>
    </cfRule>
    <cfRule type="expression" dxfId="3165" priority="13178">
      <formula>IF($B36="Quoting",TRUE,FALSE)</formula>
    </cfRule>
    <cfRule type="expression" dxfId="3164" priority="13179">
      <formula>IF($B36="Quoting",TRUE,FALSE)</formula>
    </cfRule>
    <cfRule type="expression" dxfId="3163" priority="13180">
      <formula>IF($B36="Quoting",TRUE,FALSE)</formula>
    </cfRule>
    <cfRule type="expression" dxfId="3162" priority="13181">
      <formula>IF($B36="Quoting",TRUE,FALSE)</formula>
    </cfRule>
    <cfRule type="expression" dxfId="3161" priority="13182">
      <formula>IF($B36="Quoting",TRUE,FALSE)</formula>
    </cfRule>
    <cfRule type="expression" dxfId="3160" priority="13183">
      <formula>IF($B36="Quoting",TRUE,FALSE)</formula>
    </cfRule>
    <cfRule type="expression" dxfId="3159" priority="13184">
      <formula>IF($B36="Quoting",TRUE,FALSE)</formula>
    </cfRule>
    <cfRule type="expression" dxfId="3158" priority="13185">
      <formula>IF($B36="Quoting",TRUE,FALSE)</formula>
    </cfRule>
    <cfRule type="expression" dxfId="3157" priority="13186">
      <formula>IF($B36="Quoting",TRUE,FALSE)</formula>
    </cfRule>
    <cfRule type="expression" dxfId="3156" priority="13187">
      <formula>IF($B36="Quoting",TRUE,FALSE)</formula>
    </cfRule>
    <cfRule type="expression" dxfId="3155" priority="13188">
      <formula>IF($B36="Quoting",TRUE,FALSE)</formula>
    </cfRule>
    <cfRule type="expression" dxfId="3154" priority="13189">
      <formula>IF($B36="Quoting",TRUE,FALSE)</formula>
    </cfRule>
    <cfRule type="expression" dxfId="3153" priority="13190">
      <formula>IF($B36="Quoting",TRUE,FALSE)</formula>
    </cfRule>
    <cfRule type="expression" dxfId="3152" priority="13191">
      <formula>IF($B36="Quoting",TRUE,FALSE)</formula>
    </cfRule>
    <cfRule type="expression" dxfId="3151" priority="13192">
      <formula>IF($B36="Quoting",TRUE,FALSE)</formula>
    </cfRule>
    <cfRule type="expression" dxfId="3150" priority="13193">
      <formula>IF($B36="Quoting",TRUE,FALSE)</formula>
    </cfRule>
    <cfRule type="expression" dxfId="3149" priority="13194">
      <formula>IF($B36="Quoting",TRUE,FALSE)</formula>
    </cfRule>
    <cfRule type="expression" dxfId="3148" priority="13195">
      <formula>IF($B36="Quoting",TRUE,FALSE)</formula>
    </cfRule>
    <cfRule type="expression" dxfId="3147" priority="13196">
      <formula>IF($B36="Quoting",TRUE,FALSE)</formula>
    </cfRule>
    <cfRule type="expression" dxfId="3146" priority="13197">
      <formula>IF($B36="Quoting",TRUE,FALSE)</formula>
    </cfRule>
    <cfRule type="expression" dxfId="3145" priority="13198">
      <formula>IF($B36="Quoting",TRUE,FALSE)</formula>
    </cfRule>
    <cfRule type="expression" dxfId="3144" priority="13199">
      <formula>IF($B36="Quoting",TRUE,FALSE)</formula>
    </cfRule>
    <cfRule type="expression" dxfId="3143" priority="13200">
      <formula>IF($B36="Quoting",TRUE,FALSE)</formula>
    </cfRule>
    <cfRule type="expression" dxfId="3142" priority="13201">
      <formula>IF($B36="Quoting",TRUE,FALSE)</formula>
    </cfRule>
    <cfRule type="expression" dxfId="3141" priority="13202">
      <formula>IF($B36="Quoting",TRUE,FALSE)</formula>
    </cfRule>
    <cfRule type="expression" dxfId="3140" priority="13203">
      <formula>IF($B36="Quoting",TRUE,FALSE)</formula>
    </cfRule>
    <cfRule type="expression" dxfId="3139" priority="13204">
      <formula>IF($B36="Quoting",TRUE,FALSE)</formula>
    </cfRule>
    <cfRule type="expression" dxfId="3138" priority="13205">
      <formula>IF($B36="Quoting",TRUE,FALSE)</formula>
    </cfRule>
    <cfRule type="expression" dxfId="3137" priority="13206">
      <formula>IF($B36="Quoting",TRUE,FALSE)</formula>
    </cfRule>
    <cfRule type="expression" dxfId="3136" priority="13207">
      <formula>IF($B36="Quoting",TRUE,FALSE)</formula>
    </cfRule>
    <cfRule type="expression" dxfId="3135" priority="13208">
      <formula>IF($B36="Quoting",TRUE,FALSE)</formula>
    </cfRule>
    <cfRule type="expression" dxfId="3134" priority="13209">
      <formula>IF($B36="Quoting",TRUE,FALSE)</formula>
    </cfRule>
    <cfRule type="expression" dxfId="3133" priority="13210">
      <formula>IF($B36="Quoting",TRUE,FALSE)</formula>
    </cfRule>
    <cfRule type="expression" dxfId="3132" priority="13211">
      <formula>IF($B36="Quoting",TRUE,FALSE)</formula>
    </cfRule>
    <cfRule type="expression" dxfId="3131" priority="13212">
      <formula>IF($B36="Quoting",TRUE,FALSE)</formula>
    </cfRule>
    <cfRule type="expression" dxfId="3130" priority="13213">
      <formula>IF($B36="Quoting",TRUE,FALSE)</formula>
    </cfRule>
    <cfRule type="expression" dxfId="3129" priority="13214">
      <formula>IF($B36="Quoting",TRUE,FALSE)</formula>
    </cfRule>
    <cfRule type="expression" dxfId="3128" priority="13215">
      <formula>IF($B36="Quoting",TRUE,FALSE)</formula>
    </cfRule>
    <cfRule type="expression" dxfId="3127" priority="13216">
      <formula>IF($B36="Quoting",TRUE,FALSE)</formula>
    </cfRule>
    <cfRule type="expression" dxfId="3126" priority="13217">
      <formula>IF($B36="Quoting",TRUE,FALSE)</formula>
    </cfRule>
    <cfRule type="expression" dxfId="3125" priority="13218">
      <formula>IF($B36="Quoting",TRUE,FALSE)</formula>
    </cfRule>
    <cfRule type="expression" dxfId="3124" priority="13219">
      <formula>IF($B36="Quoting",TRUE,FALSE)</formula>
    </cfRule>
    <cfRule type="expression" dxfId="3123" priority="13220">
      <formula>IF($B36="Quoting",TRUE,FALSE)</formula>
    </cfRule>
    <cfRule type="expression" dxfId="3122" priority="13221">
      <formula>IF($B36="Quoting",TRUE,FALSE)</formula>
    </cfRule>
    <cfRule type="expression" dxfId="3121" priority="13222">
      <formula>IF($B36="Quoting",TRUE,FALSE)</formula>
    </cfRule>
    <cfRule type="expression" dxfId="3120" priority="13223">
      <formula>IF($B36="Quoting",TRUE,FALSE)</formula>
    </cfRule>
    <cfRule type="expression" dxfId="3119" priority="13224">
      <formula>IF($B36="Quoting",TRUE,FALSE)</formula>
    </cfRule>
    <cfRule type="expression" dxfId="3118" priority="13225">
      <formula>IF($B36="Quoting",TRUE,FALSE)</formula>
    </cfRule>
    <cfRule type="expression" dxfId="3117" priority="13226">
      <formula>IF($B36="Quoting",TRUE,FALSE)</formula>
    </cfRule>
    <cfRule type="expression" dxfId="3116" priority="13227">
      <formula>IF($B36="Quoting",TRUE,FALSE)</formula>
    </cfRule>
    <cfRule type="expression" dxfId="3115" priority="13228">
      <formula>IF($B36="Quoting",TRUE,FALSE)</formula>
    </cfRule>
    <cfRule type="expression" dxfId="3114" priority="13229">
      <formula>IF($B36="Quoting",TRUE,FALSE)</formula>
    </cfRule>
    <cfRule type="expression" dxfId="3113" priority="13230">
      <formula>IF($B36="Quoting",TRUE,FALSE)</formula>
    </cfRule>
    <cfRule type="expression" dxfId="3112" priority="13231">
      <formula>IF($B36="Quoting",TRUE,FALSE)</formula>
    </cfRule>
    <cfRule type="expression" dxfId="3111" priority="13232">
      <formula>IF($B36="Quoting",TRUE,FALSE)</formula>
    </cfRule>
    <cfRule type="expression" dxfId="3110" priority="13233">
      <formula>IF($B36="Quoting",TRUE,FALSE)</formula>
    </cfRule>
    <cfRule type="expression" dxfId="3109" priority="13234">
      <formula>IF($B36="Quoting",TRUE,FALSE)</formula>
    </cfRule>
    <cfRule type="expression" dxfId="3108" priority="13235">
      <formula>IF($B36="Quoting",TRUE,FALSE)</formula>
    </cfRule>
    <cfRule type="expression" dxfId="3107" priority="13236">
      <formula>IF($B36="Quoting",TRUE,FALSE)</formula>
    </cfRule>
    <cfRule type="expression" dxfId="3106" priority="13237">
      <formula>IF($B36="Quoting",TRUE,FALSE)</formula>
    </cfRule>
    <cfRule type="expression" dxfId="3105" priority="13238">
      <formula>IF($B36="Quoting",TRUE,FALSE)</formula>
    </cfRule>
    <cfRule type="expression" dxfId="3104" priority="13239">
      <formula>IF($B36="Quoting",TRUE,FALSE)</formula>
    </cfRule>
    <cfRule type="expression" dxfId="3103" priority="13240">
      <formula>IF($B36="Quoting",TRUE,FALSE)</formula>
    </cfRule>
    <cfRule type="expression" dxfId="3102" priority="13241">
      <formula>IF($B36="Quoting",TRUE,FALSE)</formula>
    </cfRule>
    <cfRule type="expression" dxfId="3101" priority="13242">
      <formula>IF($B36="Quoting",TRUE,FALSE)</formula>
    </cfRule>
    <cfRule type="expression" dxfId="3100" priority="13243">
      <formula>IF($B36="Quoting",TRUE,FALSE)</formula>
    </cfRule>
    <cfRule type="expression" dxfId="3099" priority="13244">
      <formula>IF($B36="Quoting",TRUE,FALSE)</formula>
    </cfRule>
    <cfRule type="expression" dxfId="3098" priority="13245">
      <formula>IF($B36="Quoting",TRUE,FALSE)</formula>
    </cfRule>
    <cfRule type="expression" dxfId="3097" priority="13246">
      <formula>IF($B36="Quoting",TRUE,FALSE)</formula>
    </cfRule>
    <cfRule type="expression" dxfId="3096" priority="13247">
      <formula>IF($B36="Quoting",TRUE,FALSE)</formula>
    </cfRule>
    <cfRule type="expression" dxfId="3095" priority="13248">
      <formula>IF($B36="Quoting",TRUE,FALSE)</formula>
    </cfRule>
    <cfRule type="expression" dxfId="3094" priority="13249">
      <formula>IF($B36="Quoting",TRUE,FALSE)</formula>
    </cfRule>
    <cfRule type="expression" dxfId="3093" priority="13250">
      <formula>IF($B36="Quoting",TRUE,FALSE)</formula>
    </cfRule>
    <cfRule type="expression" dxfId="3092" priority="13251">
      <formula>IF($B36="Quoting",TRUE,FALSE)</formula>
    </cfRule>
    <cfRule type="expression" dxfId="3091" priority="13252">
      <formula>IF($B36="Quoting",TRUE,FALSE)</formula>
    </cfRule>
    <cfRule type="expression" dxfId="3090" priority="13253">
      <formula>IF($B36="Quoting",TRUE,FALSE)</formula>
    </cfRule>
    <cfRule type="expression" dxfId="3089" priority="13254">
      <formula>IF($B36="Quoting",TRUE,FALSE)</formula>
    </cfRule>
    <cfRule type="expression" dxfId="3088" priority="13255">
      <formula>IF($B36="Quoting",TRUE,FALSE)</formula>
    </cfRule>
    <cfRule type="expression" dxfId="3087" priority="13256">
      <formula>IF($B36="Quoting",TRUE,FALSE)</formula>
    </cfRule>
    <cfRule type="expression" dxfId="3086" priority="13257">
      <formula>IF($B36="Quoting",TRUE,FALSE)</formula>
    </cfRule>
    <cfRule type="expression" dxfId="3085" priority="13258">
      <formula>IF($B36="Quoting",TRUE,FALSE)</formula>
    </cfRule>
    <cfRule type="expression" dxfId="3084" priority="13259">
      <formula>IF($B36="Quoting",TRUE,FALSE)</formula>
    </cfRule>
    <cfRule type="expression" dxfId="3083" priority="13260">
      <formula>IF($B36="Quoting",TRUE,FALSE)</formula>
    </cfRule>
    <cfRule type="expression" dxfId="3082" priority="13261">
      <formula>IF($B36="Quoting",TRUE,FALSE)</formula>
    </cfRule>
    <cfRule type="expression" dxfId="3081" priority="13262">
      <formula>IF($B36="Quoting",TRUE,FALSE)</formula>
    </cfRule>
    <cfRule type="expression" dxfId="3080" priority="13263">
      <formula>IF($B36="Quoting",TRUE,FALSE)</formula>
    </cfRule>
    <cfRule type="expression" dxfId="3079" priority="13264">
      <formula>IF($B36="Quoting",TRUE,FALSE)</formula>
    </cfRule>
    <cfRule type="expression" dxfId="3078" priority="13265">
      <formula>IF($B36="Quoting",TRUE,FALSE)</formula>
    </cfRule>
    <cfRule type="expression" dxfId="3077" priority="13266">
      <formula>IF($B36="Quoting",TRUE,FALSE)</formula>
    </cfRule>
    <cfRule type="expression" dxfId="3076" priority="13267">
      <formula>IF($B36="Quoting",TRUE,FALSE)</formula>
    </cfRule>
    <cfRule type="expression" dxfId="3075" priority="13268">
      <formula>IF($B36="Quoting",TRUE,FALSE)</formula>
    </cfRule>
    <cfRule type="expression" dxfId="3074" priority="13269">
      <formula>IF($B36="Quoting",TRUE,FALSE)</formula>
    </cfRule>
    <cfRule type="expression" dxfId="3073" priority="13270">
      <formula>IF($B36="Quoting",TRUE,FALSE)</formula>
    </cfRule>
    <cfRule type="expression" dxfId="3072" priority="13271">
      <formula>IF($B36="Quoting",TRUE,FALSE)</formula>
    </cfRule>
    <cfRule type="expression" dxfId="3071" priority="13272">
      <formula>IF($B36="Quoting",TRUE,FALSE)</formula>
    </cfRule>
    <cfRule type="expression" dxfId="3070" priority="13273">
      <formula>IF($B36="Quoting",TRUE,FALSE)</formula>
    </cfRule>
    <cfRule type="expression" dxfId="3069" priority="13274">
      <formula>IF($B36="Quoting",TRUE,FALSE)</formula>
    </cfRule>
    <cfRule type="expression" dxfId="3068" priority="13275">
      <formula>IF($B36="Quoting",TRUE,FALSE)</formula>
    </cfRule>
    <cfRule type="expression" dxfId="3067" priority="13276">
      <formula>IF($B36="Quoting",TRUE,FALSE)</formula>
    </cfRule>
    <cfRule type="expression" dxfId="3066" priority="13277">
      <formula>IF($B36="Quoting",TRUE,FALSE)</formula>
    </cfRule>
    <cfRule type="expression" dxfId="3065" priority="13278">
      <formula>IF($B36="Quoting",TRUE,FALSE)</formula>
    </cfRule>
    <cfRule type="expression" dxfId="3064" priority="13279">
      <formula>IF($B36="Quoting",TRUE,FALSE)</formula>
    </cfRule>
    <cfRule type="expression" dxfId="3063" priority="13280">
      <formula>IF($B36="Quoting",TRUE,FALSE)</formula>
    </cfRule>
    <cfRule type="expression" dxfId="3062" priority="13281">
      <formula>IF($B36="Quoting",TRUE,FALSE)</formula>
    </cfRule>
    <cfRule type="expression" dxfId="3061" priority="13282">
      <formula>IF($B36="Quoting",TRUE,FALSE)</formula>
    </cfRule>
    <cfRule type="expression" dxfId="3060" priority="13283">
      <formula>IF($B36="Quoting",TRUE,FALSE)</formula>
    </cfRule>
    <cfRule type="expression" dxfId="3059" priority="13284">
      <formula>IF($B36="Quoting",TRUE,FALSE)</formula>
    </cfRule>
    <cfRule type="expression" dxfId="3058" priority="13285">
      <formula>IF($B36="Quoting",TRUE,FALSE)</formula>
    </cfRule>
    <cfRule type="expression" dxfId="3057" priority="13286">
      <formula>IF($B36="Quoting",TRUE,FALSE)</formula>
    </cfRule>
    <cfRule type="expression" dxfId="3056" priority="13287">
      <formula>IF($B36="Quoting",TRUE,FALSE)</formula>
    </cfRule>
    <cfRule type="expression" dxfId="3055" priority="13288">
      <formula>IF($B36="Quoting",TRUE,FALSE)</formula>
    </cfRule>
    <cfRule type="expression" dxfId="3054" priority="13289">
      <formula>IF($B36="Quoting",TRUE,FALSE)</formula>
    </cfRule>
    <cfRule type="expression" dxfId="3053" priority="13290">
      <formula>IF($B36="Quoting",TRUE,FALSE)</formula>
    </cfRule>
    <cfRule type="expression" dxfId="3052" priority="13291">
      <formula>IF($B36="Quoting",TRUE,FALSE)</formula>
    </cfRule>
    <cfRule type="expression" dxfId="3051" priority="13292">
      <formula>IF($B36="Quoting",TRUE,FALSE)</formula>
    </cfRule>
    <cfRule type="expression" dxfId="3050" priority="13293">
      <formula>IF($B36="Quoting",TRUE,FALSE)</formula>
    </cfRule>
    <cfRule type="expression" dxfId="3049" priority="13294">
      <formula>IF($B36="Quoting",TRUE,FALSE)</formula>
    </cfRule>
    <cfRule type="expression" dxfId="3048" priority="13295">
      <formula>IF($B36="Quoting",TRUE,FALSE)</formula>
    </cfRule>
    <cfRule type="expression" dxfId="3047" priority="13296">
      <formula>IF($B36="Quoting",TRUE,FALSE)</formula>
    </cfRule>
    <cfRule type="expression" dxfId="3046" priority="13297">
      <formula>IF($B36="Quoting",TRUE,FALSE)</formula>
    </cfRule>
    <cfRule type="expression" dxfId="3045" priority="13298">
      <formula>IF($B36="Quoting",TRUE,FALSE)</formula>
    </cfRule>
    <cfRule type="expression" dxfId="3044" priority="13299">
      <formula>IF($B36="Quoting",TRUE,FALSE)</formula>
    </cfRule>
    <cfRule type="expression" dxfId="3043" priority="13300">
      <formula>IF($B36="Quoting",TRUE,FALSE)</formula>
    </cfRule>
    <cfRule type="expression" dxfId="3042" priority="13301">
      <formula>IF($B36="Quoting",TRUE,FALSE)</formula>
    </cfRule>
    <cfRule type="expression" dxfId="3041" priority="13302">
      <formula>IF($B36="Quoting",TRUE,FALSE)</formula>
    </cfRule>
    <cfRule type="expression" dxfId="3040" priority="13303">
      <formula>IF($B36="Quoting",TRUE,FALSE)</formula>
    </cfRule>
    <cfRule type="expression" dxfId="3039" priority="13304">
      <formula>IF($B36="Quoting",TRUE,FALSE)</formula>
    </cfRule>
    <cfRule type="expression" dxfId="3038" priority="13305">
      <formula>IF($B36="Quoting",TRUE,FALSE)</formula>
    </cfRule>
    <cfRule type="expression" dxfId="3037" priority="13306">
      <formula>IF($B36="Quoting",TRUE,FALSE)</formula>
    </cfRule>
    <cfRule type="expression" dxfId="3036" priority="13307">
      <formula>IF($B36="Quoting",TRUE,FALSE)</formula>
    </cfRule>
    <cfRule type="expression" dxfId="3035" priority="13308">
      <formula>IF($B36="Quoting",TRUE,FALSE)</formula>
    </cfRule>
    <cfRule type="expression" dxfId="3034" priority="13309">
      <formula>IF($B36="Quoting",TRUE,FALSE)</formula>
    </cfRule>
    <cfRule type="expression" dxfId="3033" priority="13310">
      <formula>IF($B36="Quoting",TRUE,FALSE)</formula>
    </cfRule>
    <cfRule type="expression" dxfId="3032" priority="13311">
      <formula>IF($B36="Quoting",TRUE,FALSE)</formula>
    </cfRule>
    <cfRule type="expression" dxfId="3031" priority="13312">
      <formula>IF($B36="Quoting",TRUE,FALSE)</formula>
    </cfRule>
    <cfRule type="expression" dxfId="3030" priority="13313">
      <formula>IF($B36="Quoting",TRUE,FALSE)</formula>
    </cfRule>
    <cfRule type="expression" dxfId="3029" priority="13314">
      <formula>IF($B36="Quoting",TRUE,FALSE)</formula>
    </cfRule>
    <cfRule type="expression" dxfId="3028" priority="13315">
      <formula>IF($B36="Quoting",TRUE,FALSE)</formula>
    </cfRule>
    <cfRule type="expression" dxfId="3027" priority="13316">
      <formula>IF($B36="Quoting",TRUE,FALSE)</formula>
    </cfRule>
    <cfRule type="expression" dxfId="3026" priority="13317">
      <formula>IF($B36="Quoting",TRUE,FALSE)</formula>
    </cfRule>
    <cfRule type="expression" dxfId="3025" priority="13318">
      <formula>IF($B36="Quoting",TRUE,FALSE)</formula>
    </cfRule>
    <cfRule type="expression" dxfId="3024" priority="13319">
      <formula>IF($B36="Quoting",TRUE,FALSE)</formula>
    </cfRule>
    <cfRule type="expression" dxfId="3023" priority="13320">
      <formula>IF($B36="Quoting",TRUE,FALSE)</formula>
    </cfRule>
    <cfRule type="expression" dxfId="3022" priority="13321">
      <formula>IF($B36="Quoting",TRUE,FALSE)</formula>
    </cfRule>
    <cfRule type="expression" dxfId="3021" priority="13322">
      <formula>IF($B36="Quoting",TRUE,FALSE)</formula>
    </cfRule>
    <cfRule type="expression" dxfId="3020" priority="13323">
      <formula>IF($B36="Quoting",TRUE,FALSE)</formula>
    </cfRule>
    <cfRule type="expression" dxfId="3019" priority="13324">
      <formula>IF($B36="Quoting",TRUE,FALSE)</formula>
    </cfRule>
    <cfRule type="expression" dxfId="3018" priority="13325">
      <formula>IF($B36="Quoting",TRUE,FALSE)</formula>
    </cfRule>
    <cfRule type="expression" dxfId="3017" priority="13326">
      <formula>IF($B36="Quoting",TRUE,FALSE)</formula>
    </cfRule>
    <cfRule type="expression" dxfId="3016" priority="13327">
      <formula>IF($B36="Quoting",TRUE,FALSE)</formula>
    </cfRule>
    <cfRule type="expression" dxfId="3015" priority="13328">
      <formula>IF($B36="Quoting",TRUE,FALSE)</formula>
    </cfRule>
    <cfRule type="expression" dxfId="3014" priority="13329">
      <formula>IF($B36="Quoting",TRUE,FALSE)</formula>
    </cfRule>
    <cfRule type="expression" dxfId="3013" priority="13330">
      <formula>IF($B36="Quoting",TRUE,FALSE)</formula>
    </cfRule>
    <cfRule type="expression" dxfId="3012" priority="13331">
      <formula>IF($B36="Quoting",TRUE,FALSE)</formula>
    </cfRule>
    <cfRule type="expression" dxfId="3011" priority="13332">
      <formula>IF($B36="Quoting",TRUE,FALSE)</formula>
    </cfRule>
    <cfRule type="expression" dxfId="3010" priority="13333">
      <formula>IF($B36="Quoting",TRUE,FALSE)</formula>
    </cfRule>
    <cfRule type="expression" dxfId="3009" priority="13334">
      <formula>IF($B36="Quoting",TRUE,FALSE)</formula>
    </cfRule>
    <cfRule type="expression" dxfId="3008" priority="13335">
      <formula>IF($B36="Quoting",TRUE,FALSE)</formula>
    </cfRule>
    <cfRule type="expression" dxfId="3007" priority="13336">
      <formula>IF($B36="Quoting",TRUE,FALSE)</formula>
    </cfRule>
    <cfRule type="expression" dxfId="3006" priority="13337">
      <formula>IF($B36="Quoting",TRUE,FALSE)</formula>
    </cfRule>
    <cfRule type="expression" dxfId="3005" priority="13338">
      <formula>IF($B36="Quoting",TRUE,FALSE)</formula>
    </cfRule>
    <cfRule type="expression" dxfId="3004" priority="13339">
      <formula>IF($B36="Quoting",TRUE,FALSE)</formula>
    </cfRule>
    <cfRule type="expression" dxfId="3003" priority="13340">
      <formula>IF($B36="Quoting",TRUE,FALSE)</formula>
    </cfRule>
    <cfRule type="expression" dxfId="3002" priority="13341">
      <formula>IF($B36="Quoting",TRUE,FALSE)</formula>
    </cfRule>
    <cfRule type="expression" dxfId="3001" priority="13342">
      <formula>IF($B36="Quoting",TRUE,FALSE)</formula>
    </cfRule>
    <cfRule type="expression" dxfId="3000" priority="13343">
      <formula>IF($B36="Quoting",TRUE,FALSE)</formula>
    </cfRule>
    <cfRule type="expression" dxfId="2999" priority="13344">
      <formula>IF($B36="Quoting",TRUE,FALSE)</formula>
    </cfRule>
    <cfRule type="expression" dxfId="2998" priority="13345">
      <formula>IF($B36="Quoting",TRUE,FALSE)</formula>
    </cfRule>
    <cfRule type="expression" dxfId="2997" priority="13346">
      <formula>IF($B36="Quoting",TRUE,FALSE)</formula>
    </cfRule>
    <cfRule type="expression" dxfId="2996" priority="13347">
      <formula>IF($B36="Quoting",TRUE,FALSE)</formula>
    </cfRule>
    <cfRule type="expression" dxfId="2995" priority="13348">
      <formula>IF($B36="Quoting",TRUE,FALSE)</formula>
    </cfRule>
    <cfRule type="expression" dxfId="2994" priority="13349">
      <formula>IF($B36="Quoting",TRUE,FALSE)</formula>
    </cfRule>
    <cfRule type="expression" dxfId="2993" priority="13350">
      <formula>IF($B36="Quoting",TRUE,FALSE)</formula>
    </cfRule>
    <cfRule type="expression" dxfId="2992" priority="13351">
      <formula>IF($B36="Quoting",TRUE,FALSE)</formula>
    </cfRule>
    <cfRule type="expression" dxfId="2991" priority="13352">
      <formula>IF($B36="Quoting",TRUE,FALSE)</formula>
    </cfRule>
    <cfRule type="expression" dxfId="2990" priority="13353">
      <formula>IF($B36="Quoting",TRUE,FALSE)</formula>
    </cfRule>
    <cfRule type="expression" dxfId="2989" priority="13354">
      <formula>IF($B36="Quoting",TRUE,FALSE)</formula>
    </cfRule>
    <cfRule type="expression" dxfId="2988" priority="13355">
      <formula>IF($B36="Quoting",TRUE,FALSE)</formula>
    </cfRule>
    <cfRule type="expression" dxfId="2987" priority="13356">
      <formula>IF($B36="Quoting",TRUE,FALSE)</formula>
    </cfRule>
    <cfRule type="expression" dxfId="2986" priority="13357">
      <formula>IF($B36="Quoting",TRUE,FALSE)</formula>
    </cfRule>
    <cfRule type="expression" dxfId="2985" priority="13358">
      <formula>IF($B36="Quoting",TRUE,FALSE)</formula>
    </cfRule>
    <cfRule type="expression" dxfId="2984" priority="13359">
      <formula>IF($B36="Quoting",TRUE,FALSE)</formula>
    </cfRule>
    <cfRule type="expression" dxfId="2983" priority="13360">
      <formula>IF($B36="Quoting",TRUE,FALSE)</formula>
    </cfRule>
    <cfRule type="expression" dxfId="2982" priority="13361">
      <formula>IF($B36="Quoting",TRUE,FALSE)</formula>
    </cfRule>
    <cfRule type="expression" dxfId="2981" priority="13362">
      <formula>IF($B36="Quoting",TRUE,FALSE)</formula>
    </cfRule>
    <cfRule type="expression" dxfId="2980" priority="13363">
      <formula>IF($B36="Quoting",TRUE,FALSE)</formula>
    </cfRule>
    <cfRule type="expression" dxfId="2979" priority="13364">
      <formula>IF($B36="Quoting",TRUE,FALSE)</formula>
    </cfRule>
    <cfRule type="expression" dxfId="2978" priority="13365">
      <formula>IF($B36="Quoting",TRUE,FALSE)</formula>
    </cfRule>
    <cfRule type="expression" dxfId="2977" priority="13366">
      <formula>IF($B36="Quoting",TRUE,FALSE)</formula>
    </cfRule>
    <cfRule type="expression" dxfId="2976" priority="13367">
      <formula>IF($B36="Quoting",TRUE,FALSE)</formula>
    </cfRule>
    <cfRule type="expression" dxfId="2975" priority="13368">
      <formula>IF($B36="Quoting",TRUE,FALSE)</formula>
    </cfRule>
    <cfRule type="expression" dxfId="2974" priority="13369">
      <formula>IF($B36="Quoting",TRUE,FALSE)</formula>
    </cfRule>
    <cfRule type="expression" dxfId="2973" priority="13370">
      <formula>IF($B36="Quoting",TRUE,FALSE)</formula>
    </cfRule>
    <cfRule type="expression" dxfId="2972" priority="13371">
      <formula>IF($B36="Quoting",TRUE,FALSE)</formula>
    </cfRule>
    <cfRule type="expression" dxfId="2971" priority="13372">
      <formula>IF($B36="Quoting",TRUE,FALSE)</formula>
    </cfRule>
    <cfRule type="expression" dxfId="2970" priority="13373">
      <formula>IF($B36="Quoting",TRUE,FALSE)</formula>
    </cfRule>
    <cfRule type="expression" dxfId="2969" priority="13374">
      <formula>IF($B36="Quoting",TRUE,FALSE)</formula>
    </cfRule>
    <cfRule type="expression" dxfId="2968" priority="13375">
      <formula>IF($B36="Quoting",TRUE,FALSE)</formula>
    </cfRule>
    <cfRule type="expression" dxfId="2967" priority="13376">
      <formula>IF($B36="Quoting",TRUE,FALSE)</formula>
    </cfRule>
    <cfRule type="expression" dxfId="2966" priority="13377">
      <formula>IF($B36="Quoting",TRUE,FALSE)</formula>
    </cfRule>
    <cfRule type="expression" dxfId="2965" priority="13378">
      <formula>IF($B36="Quoting",TRUE,FALSE)</formula>
    </cfRule>
    <cfRule type="expression" dxfId="2964" priority="13379">
      <formula>IF($B36="Quoting",TRUE,FALSE)</formula>
    </cfRule>
    <cfRule type="expression" dxfId="2963" priority="13380">
      <formula>IF($B36="Quoting",TRUE,FALSE)</formula>
    </cfRule>
    <cfRule type="expression" dxfId="2962" priority="13381">
      <formula>IF($B36="Quoting",TRUE,FALSE)</formula>
    </cfRule>
    <cfRule type="expression" dxfId="2961" priority="13382">
      <formula>IF($B36="Quoting",TRUE,FALSE)</formula>
    </cfRule>
    <cfRule type="expression" dxfId="2960" priority="13383">
      <formula>IF($B36="Quoting",TRUE,FALSE)</formula>
    </cfRule>
    <cfRule type="expression" dxfId="2959" priority="13384">
      <formula>IF($B36="Quoting",TRUE,FALSE)</formula>
    </cfRule>
    <cfRule type="expression" dxfId="2958" priority="13385">
      <formula>IF($B36="Quoting",TRUE,FALSE)</formula>
    </cfRule>
    <cfRule type="expression" dxfId="2957" priority="13386">
      <formula>IF($B36="Quoting",TRUE,FALSE)</formula>
    </cfRule>
    <cfRule type="expression" dxfId="2956" priority="13387">
      <formula>IF($B36="Quoting",TRUE,FALSE)</formula>
    </cfRule>
    <cfRule type="expression" dxfId="2955" priority="13388">
      <formula>IF($B36="Quoting",TRUE,FALSE)</formula>
    </cfRule>
    <cfRule type="expression" dxfId="2954" priority="13389">
      <formula>IF($B36="Quoting",TRUE,FALSE)</formula>
    </cfRule>
    <cfRule type="expression" dxfId="2953" priority="13390">
      <formula>IF($B36="Quoting",TRUE,FALSE)</formula>
    </cfRule>
    <cfRule type="expression" dxfId="2952" priority="13391">
      <formula>IF($B36="Quoting",TRUE,FALSE)</formula>
    </cfRule>
    <cfRule type="expression" dxfId="2951" priority="13392">
      <formula>IF($B36="Quoting",TRUE,FALSE)</formula>
    </cfRule>
    <cfRule type="expression" dxfId="2950" priority="13393">
      <formula>IF($B36="Quoting",TRUE,FALSE)</formula>
    </cfRule>
    <cfRule type="expression" dxfId="2949" priority="13394">
      <formula>IF($B36="Quoting",TRUE,FALSE)</formula>
    </cfRule>
    <cfRule type="expression" dxfId="2948" priority="13395">
      <formula>IF($B36="Quoting",TRUE,FALSE)</formula>
    </cfRule>
    <cfRule type="expression" dxfId="2947" priority="13396">
      <formula>IF($B36="Quoting",TRUE,FALSE)</formula>
    </cfRule>
    <cfRule type="expression" dxfId="2946" priority="13397">
      <formula>IF($B36="Quoting",TRUE,FALSE)</formula>
    </cfRule>
    <cfRule type="expression" dxfId="2945" priority="13398">
      <formula>IF($B36="Quoting",TRUE,FALSE)</formula>
    </cfRule>
    <cfRule type="expression" dxfId="2944" priority="13399">
      <formula>IF($B36="Quoting",TRUE,FALSE)</formula>
    </cfRule>
    <cfRule type="expression" dxfId="2943" priority="13400">
      <formula>IF($B36="Quoting",TRUE,FALSE)</formula>
    </cfRule>
    <cfRule type="expression" dxfId="2942" priority="13401">
      <formula>IF($B36="Quoting",TRUE,FALSE)</formula>
    </cfRule>
    <cfRule type="expression" dxfId="2941" priority="13402">
      <formula>IF($B36="Quoting",TRUE,FALSE)</formula>
    </cfRule>
    <cfRule type="expression" dxfId="2940" priority="13403">
      <formula>IF($B36="Quoting",TRUE,FALSE)</formula>
    </cfRule>
    <cfRule type="expression" dxfId="2939" priority="13404">
      <formula>IF($B36="Quoting",TRUE,FALSE)</formula>
    </cfRule>
    <cfRule type="expression" dxfId="2938" priority="13405">
      <formula>IF($B36="Quoting",TRUE,FALSE)</formula>
    </cfRule>
    <cfRule type="expression" dxfId="2937" priority="13406">
      <formula>IF($B36="Quoting",TRUE,FALSE)</formula>
    </cfRule>
    <cfRule type="expression" dxfId="2936" priority="13407">
      <formula>IF($B36="Quoting",TRUE,FALSE)</formula>
    </cfRule>
    <cfRule type="expression" dxfId="2935" priority="13408">
      <formula>IF($B36="Quoting",TRUE,FALSE)</formula>
    </cfRule>
    <cfRule type="expression" dxfId="2934" priority="13409">
      <formula>IF($B36="Quoting",TRUE,FALSE)</formula>
    </cfRule>
    <cfRule type="expression" dxfId="2933" priority="13410">
      <formula>IF($B36="Quoting",TRUE,FALSE)</formula>
    </cfRule>
    <cfRule type="expression" dxfId="2932" priority="13411">
      <formula>IF($B36="Quoting",TRUE,FALSE)</formula>
    </cfRule>
    <cfRule type="expression" dxfId="2931" priority="13412">
      <formula>IF($B36="Quoting",TRUE,FALSE)</formula>
    </cfRule>
    <cfRule type="expression" dxfId="2930" priority="13413">
      <formula>IF($B36="Quoting",TRUE,FALSE)</formula>
    </cfRule>
    <cfRule type="expression" dxfId="2929" priority="13414">
      <formula>IF($B36="Quoting",TRUE,FALSE)</formula>
    </cfRule>
    <cfRule type="expression" dxfId="2928" priority="13415">
      <formula>IF($B36="Quoting",TRUE,FALSE)</formula>
    </cfRule>
    <cfRule type="expression" dxfId="2927" priority="13416">
      <formula>IF($B36="Quoting",TRUE,FALSE)</formula>
    </cfRule>
    <cfRule type="expression" dxfId="2926" priority="13417">
      <formula>IF($B36="Quoting",TRUE,FALSE)</formula>
    </cfRule>
    <cfRule type="expression" dxfId="2925" priority="13418">
      <formula>IF($B36="Quoting",TRUE,FALSE)</formula>
    </cfRule>
    <cfRule type="expression" dxfId="2924" priority="13419">
      <formula>IF($B36="Quoting",TRUE,FALSE)</formula>
    </cfRule>
    <cfRule type="expression" dxfId="2923" priority="13420">
      <formula>IF($B36="Quoting",TRUE,FALSE)</formula>
    </cfRule>
    <cfRule type="expression" dxfId="2922" priority="13421">
      <formula>IF($B36="Quoting",TRUE,FALSE)</formula>
    </cfRule>
    <cfRule type="expression" dxfId="2921" priority="13422">
      <formula>IF($B36="Quoting",TRUE,FALSE)</formula>
    </cfRule>
    <cfRule type="expression" dxfId="2920" priority="13423">
      <formula>IF($B36="Quoting",TRUE,FALSE)</formula>
    </cfRule>
    <cfRule type="expression" dxfId="2919" priority="13424">
      <formula>IF($B36="Quoting",TRUE,FALSE)</formula>
    </cfRule>
    <cfRule type="expression" dxfId="2918" priority="13425">
      <formula>IF($B36="Quoting",TRUE,FALSE)</formula>
    </cfRule>
    <cfRule type="expression" dxfId="2917" priority="13426">
      <formula>IF($B36="Quoting",TRUE,FALSE)</formula>
    </cfRule>
    <cfRule type="expression" dxfId="2916" priority="13427">
      <formula>IF($B36="Quoting",TRUE,FALSE)</formula>
    </cfRule>
    <cfRule type="expression" dxfId="2915" priority="13428">
      <formula>IF($B36="Quoting",TRUE,FALSE)</formula>
    </cfRule>
    <cfRule type="expression" dxfId="2914" priority="13429">
      <formula>IF($B36="Quoting",TRUE,FALSE)</formula>
    </cfRule>
    <cfRule type="expression" dxfId="2913" priority="13430">
      <formula>IF($B36="Quoting",TRUE,FALSE)</formula>
    </cfRule>
    <cfRule type="expression" dxfId="2912" priority="13431">
      <formula>IF($B36="Quoting",TRUE,FALSE)</formula>
    </cfRule>
    <cfRule type="expression" dxfId="2911" priority="13432">
      <formula>IF($B36="Quoting",TRUE,FALSE)</formula>
    </cfRule>
    <cfRule type="expression" dxfId="2910" priority="13433">
      <formula>IF($B36="Quoting",TRUE,FALSE)</formula>
    </cfRule>
    <cfRule type="expression" dxfId="2909" priority="13434">
      <formula>IF($B36="Quoting",TRUE,FALSE)</formula>
    </cfRule>
    <cfRule type="expression" dxfId="2908" priority="13435">
      <formula>IF($B36="Quoting",TRUE,FALSE)</formula>
    </cfRule>
    <cfRule type="expression" dxfId="2907" priority="13436">
      <formula>IF($B36="Quoting",TRUE,FALSE)</formula>
    </cfRule>
    <cfRule type="expression" dxfId="2906" priority="13437">
      <formula>IF($B36="Quoting",TRUE,FALSE)</formula>
    </cfRule>
    <cfRule type="expression" dxfId="2905" priority="13438">
      <formula>IF($B36="Quoting",TRUE,FALSE)</formula>
    </cfRule>
    <cfRule type="expression" dxfId="2904" priority="13439">
      <formula>IF($B36="Quoting",TRUE,FALSE)</formula>
    </cfRule>
    <cfRule type="expression" dxfId="2903" priority="13440">
      <formula>IF($B36="Quoting",TRUE,FALSE)</formula>
    </cfRule>
    <cfRule type="expression" dxfId="2902" priority="13441">
      <formula>IF($B36="Quoting",TRUE,FALSE)</formula>
    </cfRule>
    <cfRule type="expression" dxfId="2901" priority="13442">
      <formula>IF($B36="Quoting",TRUE,FALSE)</formula>
    </cfRule>
    <cfRule type="expression" dxfId="2900" priority="13443">
      <formula>IF($B36="Quoting",TRUE,FALSE)</formula>
    </cfRule>
    <cfRule type="expression" dxfId="2899" priority="13444">
      <formula>IF($B36="Quoting",TRUE,FALSE)</formula>
    </cfRule>
    <cfRule type="expression" dxfId="2898" priority="13445">
      <formula>IF($B36="Quoting",TRUE,FALSE)</formula>
    </cfRule>
    <cfRule type="expression" dxfId="2897" priority="13446">
      <formula>IF($B36="Quoting",TRUE,FALSE)</formula>
    </cfRule>
    <cfRule type="expression" dxfId="2896" priority="13447">
      <formula>IF($B36="Quoting",TRUE,FALSE)</formula>
    </cfRule>
    <cfRule type="expression" dxfId="2895" priority="13448">
      <formula>IF($B36="Quoting",TRUE,FALSE)</formula>
    </cfRule>
    <cfRule type="expression" dxfId="2894" priority="13449">
      <formula>IF($B36="Quoting",TRUE,FALSE)</formula>
    </cfRule>
    <cfRule type="expression" dxfId="2893" priority="13450">
      <formula>IF($B36="Quoting",TRUE,FALSE)</formula>
    </cfRule>
    <cfRule type="expression" dxfId="2892" priority="13451">
      <formula>IF($B36="Quoting",TRUE,FALSE)</formula>
    </cfRule>
    <cfRule type="expression" dxfId="2891" priority="13452">
      <formula>IF($B36="Quoting",TRUE,FALSE)</formula>
    </cfRule>
    <cfRule type="expression" dxfId="2890" priority="13453">
      <formula>IF($B36="Quoting",TRUE,FALSE)</formula>
    </cfRule>
    <cfRule type="expression" dxfId="2889" priority="13454">
      <formula>IF($B36="Quoting",TRUE,FALSE)</formula>
    </cfRule>
    <cfRule type="expression" dxfId="2888" priority="13455">
      <formula>IF($B36="Quoting",TRUE,FALSE)</formula>
    </cfRule>
    <cfRule type="expression" dxfId="2887" priority="13456">
      <formula>IF($B36="Quoting",TRUE,FALSE)</formula>
    </cfRule>
    <cfRule type="expression" dxfId="2886" priority="13457">
      <formula>IF($B36="Quoting",TRUE,FALSE)</formula>
    </cfRule>
    <cfRule type="expression" dxfId="2885" priority="13458">
      <formula>IF($B36="Quoting",TRUE,FALSE)</formula>
    </cfRule>
    <cfRule type="expression" dxfId="2884" priority="13459">
      <formula>IF($B36="Quoting",TRUE,FALSE)</formula>
    </cfRule>
    <cfRule type="expression" dxfId="2883" priority="13460">
      <formula>IF($B36="Quoting",TRUE,FALSE)</formula>
    </cfRule>
    <cfRule type="expression" dxfId="2882" priority="13461">
      <formula>IF($B36="Quoting",TRUE,FALSE)</formula>
    </cfRule>
    <cfRule type="expression" dxfId="2881" priority="13462">
      <formula>IF($B36="Quoting",TRUE,FALSE)</formula>
    </cfRule>
    <cfRule type="expression" dxfId="2880" priority="13463">
      <formula>IF($B36="Quoting",TRUE,FALSE)</formula>
    </cfRule>
    <cfRule type="expression" dxfId="2879" priority="13464">
      <formula>IF($B36="Quoting",TRUE,FALSE)</formula>
    </cfRule>
    <cfRule type="expression" dxfId="2878" priority="13465">
      <formula>IF($B36="Quoting",TRUE,FALSE)</formula>
    </cfRule>
    <cfRule type="expression" dxfId="2877" priority="13466">
      <formula>IF($B36="Quoting",TRUE,FALSE)</formula>
    </cfRule>
    <cfRule type="expression" dxfId="2876" priority="13467">
      <formula>IF($B36="Quoting",TRUE,FALSE)</formula>
    </cfRule>
    <cfRule type="expression" dxfId="2875" priority="13468">
      <formula>IF($B36="Quoting",TRUE,FALSE)</formula>
    </cfRule>
    <cfRule type="expression" dxfId="2874" priority="13469">
      <formula>IF($B36="Quoting",TRUE,FALSE)</formula>
    </cfRule>
    <cfRule type="expression" dxfId="2873" priority="13470">
      <formula>IF($B36="Quoting",TRUE,FALSE)</formula>
    </cfRule>
    <cfRule type="expression" dxfId="2872" priority="13471">
      <formula>IF($B36="Quoting",TRUE,FALSE)</formula>
    </cfRule>
    <cfRule type="expression" dxfId="2871" priority="13472">
      <formula>IF($B36="Quoting",TRUE,FALSE)</formula>
    </cfRule>
    <cfRule type="expression" dxfId="2870" priority="13473">
      <formula>IF($B36="Quoting",TRUE,FALSE)</formula>
    </cfRule>
    <cfRule type="expression" dxfId="2869" priority="13474">
      <formula>IF($B36="Quoting",TRUE,FALSE)</formula>
    </cfRule>
    <cfRule type="expression" dxfId="2868" priority="13475">
      <formula>IF($B36="Quoting",TRUE,FALSE)</formula>
    </cfRule>
    <cfRule type="expression" dxfId="2867" priority="13476">
      <formula>IF($B36="Quoting",TRUE,FALSE)</formula>
    </cfRule>
    <cfRule type="expression" dxfId="2866" priority="13477">
      <formula>IF($B36="Quoting",TRUE,FALSE)</formula>
    </cfRule>
    <cfRule type="expression" dxfId="2865" priority="13478">
      <formula>IF($B36="Quoting",TRUE,FALSE)</formula>
    </cfRule>
    <cfRule type="expression" dxfId="2864" priority="13479">
      <formula>IF($B36="Quoting",TRUE,FALSE)</formula>
    </cfRule>
    <cfRule type="expression" dxfId="2863" priority="13480">
      <formula>IF($B36="Quoting",TRUE,FALSE)</formula>
    </cfRule>
    <cfRule type="expression" dxfId="2862" priority="13481">
      <formula>IF($B36="Quoting",TRUE,FALSE)</formula>
    </cfRule>
    <cfRule type="expression" dxfId="2861" priority="13482">
      <formula>IF($B36="Quoting",TRUE,FALSE)</formula>
    </cfRule>
    <cfRule type="expression" dxfId="2860" priority="13483">
      <formula>IF($B36="Quoting",TRUE,FALSE)</formula>
    </cfRule>
    <cfRule type="expression" dxfId="2859" priority="13484">
      <formula>IF($B36="Quoting",TRUE,FALSE)</formula>
    </cfRule>
    <cfRule type="expression" dxfId="2858" priority="13485">
      <formula>IF($B36="Quoting",TRUE,FALSE)</formula>
    </cfRule>
    <cfRule type="expression" dxfId="2857" priority="13486">
      <formula>IF($B36="Quoting",TRUE,FALSE)</formula>
    </cfRule>
    <cfRule type="expression" dxfId="2856" priority="13487">
      <formula>IF($B36="Quoting",TRUE,FALSE)</formula>
    </cfRule>
    <cfRule type="expression" dxfId="2855" priority="13488">
      <formula>IF($B36="Quoting",TRUE,FALSE)</formula>
    </cfRule>
    <cfRule type="expression" dxfId="2854" priority="13489">
      <formula>IF($B36="Quoting",TRUE,FALSE)</formula>
    </cfRule>
    <cfRule type="expression" dxfId="2853" priority="13490">
      <formula>IF($B36="Quoting",TRUE,FALSE)</formula>
    </cfRule>
    <cfRule type="expression" dxfId="2852" priority="13491">
      <formula>IF($B36="Quoting",TRUE,FALSE)</formula>
    </cfRule>
    <cfRule type="expression" dxfId="2851" priority="13492">
      <formula>IF($B36="Quoting",TRUE,FALSE)</formula>
    </cfRule>
    <cfRule type="expression" dxfId="2850" priority="13493">
      <formula>IF($B36="Quoting",TRUE,FALSE)</formula>
    </cfRule>
    <cfRule type="expression" dxfId="2849" priority="13494">
      <formula>IF($B36="Quoting",TRUE,FALSE)</formula>
    </cfRule>
    <cfRule type="expression" dxfId="2848" priority="13495">
      <formula>IF($B36="Quoting",TRUE,FALSE)</formula>
    </cfRule>
    <cfRule type="expression" dxfId="2847" priority="13496">
      <formula>IF($B36="Quoting",TRUE,FALSE)</formula>
    </cfRule>
    <cfRule type="expression" dxfId="2846" priority="13497">
      <formula>IF($B36="Quoting",TRUE,FALSE)</formula>
    </cfRule>
    <cfRule type="expression" dxfId="2845" priority="13498">
      <formula>IF($B36="Quoting",TRUE,FALSE)</formula>
    </cfRule>
    <cfRule type="expression" dxfId="2844" priority="13499">
      <formula>IF($B36="Quoting",TRUE,FALSE)</formula>
    </cfRule>
    <cfRule type="expression" dxfId="2843" priority="13500">
      <formula>IF($B36="Quoting",TRUE,FALSE)</formula>
    </cfRule>
    <cfRule type="expression" dxfId="2842" priority="13501">
      <formula>IF($B36="Quoting",TRUE,FALSE)</formula>
    </cfRule>
    <cfRule type="expression" dxfId="2841" priority="13502">
      <formula>IF($B36="Quoting",TRUE,FALSE)</formula>
    </cfRule>
    <cfRule type="expression" dxfId="2840" priority="13503">
      <formula>IF($B36="Quoting",TRUE,FALSE)</formula>
    </cfRule>
    <cfRule type="expression" dxfId="2839" priority="13504">
      <formula>IF($B36="Quoting",TRUE,FALSE)</formula>
    </cfRule>
    <cfRule type="expression" dxfId="2838" priority="13505">
      <formula>IF($B36="Quoting",TRUE,FALSE)</formula>
    </cfRule>
    <cfRule type="expression" dxfId="2837" priority="13506">
      <formula>IF($B36="Quoting",TRUE,FALSE)</formula>
    </cfRule>
    <cfRule type="expression" dxfId="2836" priority="13507">
      <formula>IF($B36="Quoting",TRUE,FALSE)</formula>
    </cfRule>
    <cfRule type="expression" dxfId="2835" priority="13508">
      <formula>IF($B36="Quoting",TRUE,FALSE)</formula>
    </cfRule>
    <cfRule type="expression" dxfId="2834" priority="13509">
      <formula>IF($B36="Quoting",TRUE,FALSE)</formula>
    </cfRule>
    <cfRule type="expression" dxfId="2833" priority="13510">
      <formula>IF($B36="Quoting",TRUE,FALSE)</formula>
    </cfRule>
    <cfRule type="expression" dxfId="2832" priority="13511">
      <formula>IF($B36="Quoting",TRUE,FALSE)</formula>
    </cfRule>
    <cfRule type="expression" dxfId="2831" priority="13512">
      <formula>IF($B36="Quoting",TRUE,FALSE)</formula>
    </cfRule>
    <cfRule type="expression" dxfId="2830" priority="13513">
      <formula>IF($B36="Quoting",TRUE,FALSE)</formula>
    </cfRule>
    <cfRule type="expression" dxfId="2829" priority="13514">
      <formula>IF($B36="Quoting",TRUE,FALSE)</formula>
    </cfRule>
    <cfRule type="expression" dxfId="2828" priority="13515">
      <formula>IF($B36="Quoting",TRUE,FALSE)</formula>
    </cfRule>
    <cfRule type="expression" dxfId="2827" priority="13516">
      <formula>IF($B36="Quoting",TRUE,FALSE)</formula>
    </cfRule>
    <cfRule type="expression" dxfId="2826" priority="13517">
      <formula>IF($B36="Quoting",TRUE,FALSE)</formula>
    </cfRule>
    <cfRule type="expression" dxfId="2825" priority="13518">
      <formula>IF($B36="Quoting",TRUE,FALSE)</formula>
    </cfRule>
    <cfRule type="expression" dxfId="2824" priority="13519">
      <formula>IF($B36="Quoting",TRUE,FALSE)</formula>
    </cfRule>
    <cfRule type="expression" dxfId="2823" priority="13520">
      <formula>IF($B36="Quoting",TRUE,FALSE)</formula>
    </cfRule>
    <cfRule type="expression" dxfId="2822" priority="13521">
      <formula>IF($B36="Quoting",TRUE,FALSE)</formula>
    </cfRule>
    <cfRule type="expression" dxfId="2821" priority="13522">
      <formula>IF($B36="Quoting",TRUE,FALSE)</formula>
    </cfRule>
    <cfRule type="expression" dxfId="2820" priority="13523">
      <formula>IF($B36="Quoting",TRUE,FALSE)</formula>
    </cfRule>
    <cfRule type="expression" dxfId="2819" priority="13524">
      <formula>IF($B36="Quoting",TRUE,FALSE)</formula>
    </cfRule>
    <cfRule type="expression" dxfId="2818" priority="13525">
      <formula>IF($B36="Quoting",TRUE,FALSE)</formula>
    </cfRule>
    <cfRule type="expression" dxfId="2817" priority="13526">
      <formula>IF($B36="Quoting",TRUE,FALSE)</formula>
    </cfRule>
    <cfRule type="expression" dxfId="2816" priority="13527">
      <formula>IF($B36="Quoting",TRUE,FALSE)</formula>
    </cfRule>
    <cfRule type="expression" dxfId="2815" priority="13528">
      <formula>IF($B36="Quoting",TRUE,FALSE)</formula>
    </cfRule>
    <cfRule type="expression" dxfId="2814" priority="13529">
      <formula>IF($B36="Quoting",TRUE,FALSE)</formula>
    </cfRule>
    <cfRule type="expression" dxfId="2813" priority="13530">
      <formula>IF($B36="Quoting",TRUE,FALSE)</formula>
    </cfRule>
    <cfRule type="expression" dxfId="2812" priority="13531">
      <formula>IF($B36="Quoting",TRUE,FALSE)</formula>
    </cfRule>
    <cfRule type="expression" dxfId="2811" priority="13532">
      <formula>IF($B36="Quoting",TRUE,FALSE)</formula>
    </cfRule>
    <cfRule type="expression" dxfId="2810" priority="13533">
      <formula>IF($B36="Quoting",TRUE,FALSE)</formula>
    </cfRule>
    <cfRule type="expression" dxfId="2809" priority="13534">
      <formula>IF($B36="Quoting",TRUE,FALSE)</formula>
    </cfRule>
    <cfRule type="expression" dxfId="2808" priority="13535">
      <formula>IF($B36="Quoting",TRUE,FALSE)</formula>
    </cfRule>
    <cfRule type="expression" dxfId="2807" priority="13536">
      <formula>IF($B36="Quoting",TRUE,FALSE)</formula>
    </cfRule>
    <cfRule type="expression" dxfId="2806" priority="13537">
      <formula>IF($B36="Quoting",TRUE,FALSE)</formula>
    </cfRule>
    <cfRule type="expression" dxfId="2805" priority="13538">
      <formula>IF($B36="Quoting",TRUE,FALSE)</formula>
    </cfRule>
    <cfRule type="expression" dxfId="2804" priority="13539">
      <formula>IF($B36="Quoting",TRUE,FALSE)</formula>
    </cfRule>
    <cfRule type="expression" dxfId="2803" priority="13540">
      <formula>IF($B36="Quoting",TRUE,FALSE)</formula>
    </cfRule>
    <cfRule type="expression" dxfId="2802" priority="13541">
      <formula>IF($B36="Quoting",TRUE,FALSE)</formula>
    </cfRule>
    <cfRule type="expression" dxfId="2801" priority="13542">
      <formula>IF($B36="Quoting",TRUE,FALSE)</formula>
    </cfRule>
    <cfRule type="expression" dxfId="2800" priority="13543">
      <formula>IF($B36="Quoting",TRUE,FALSE)</formula>
    </cfRule>
    <cfRule type="expression" dxfId="2799" priority="13544">
      <formula>IF($B36="Quoting",TRUE,FALSE)</formula>
    </cfRule>
    <cfRule type="expression" dxfId="2798" priority="13545">
      <formula>IF($B36="Quoting",TRUE,FALSE)</formula>
    </cfRule>
    <cfRule type="expression" dxfId="2797" priority="13546">
      <formula>IF($B36="Quoting",TRUE,FALSE)</formula>
    </cfRule>
    <cfRule type="expression" dxfId="2796" priority="13547">
      <formula>IF($B36="Quoting",TRUE,FALSE)</formula>
    </cfRule>
    <cfRule type="expression" dxfId="2795" priority="13548">
      <formula>IF($B36="Quoting",TRUE,FALSE)</formula>
    </cfRule>
    <cfRule type="expression" dxfId="2794" priority="13549">
      <formula>IF($B36="Quoting",TRUE,FALSE)</formula>
    </cfRule>
    <cfRule type="expression" dxfId="2793" priority="13550">
      <formula>IF($B36="Quoting",TRUE,FALSE)</formula>
    </cfRule>
    <cfRule type="expression" dxfId="2792" priority="13551">
      <formula>IF($B36="Quoting",TRUE,FALSE)</formula>
    </cfRule>
    <cfRule type="expression" dxfId="2791" priority="13552">
      <formula>IF($B36="Quoting",TRUE,FALSE)</formula>
    </cfRule>
    <cfRule type="expression" dxfId="2790" priority="13553">
      <formula>IF($B36="Quoting",TRUE,FALSE)</formula>
    </cfRule>
    <cfRule type="expression" dxfId="2789" priority="13554">
      <formula>IF($B36="Quoting",TRUE,FALSE)</formula>
    </cfRule>
    <cfRule type="expression" dxfId="2788" priority="13555">
      <formula>IF($B36="Quoting",TRUE,FALSE)</formula>
    </cfRule>
    <cfRule type="expression" dxfId="2787" priority="13556">
      <formula>IF($B36="Quoting",TRUE,FALSE)</formula>
    </cfRule>
    <cfRule type="expression" dxfId="2786" priority="13557">
      <formula>IF($B36="Quoting",TRUE,FALSE)</formula>
    </cfRule>
    <cfRule type="expression" dxfId="2785" priority="13558">
      <formula>IF($B36="Quoting",TRUE,FALSE)</formula>
    </cfRule>
    <cfRule type="expression" dxfId="2784" priority="13559">
      <formula>IF($B36="Quoting",TRUE,FALSE)</formula>
    </cfRule>
    <cfRule type="expression" dxfId="2783" priority="13560">
      <formula>IF($B36="Quoting",TRUE,FALSE)</formula>
    </cfRule>
    <cfRule type="expression" dxfId="2782" priority="13561">
      <formula>IF($B36="Quoting",TRUE,FALSE)</formula>
    </cfRule>
    <cfRule type="expression" dxfId="2781" priority="13562">
      <formula>IF($B36="Quoting",TRUE,FALSE)</formula>
    </cfRule>
    <cfRule type="expression" dxfId="2780" priority="13563">
      <formula>IF($B36="Quoting",TRUE,FALSE)</formula>
    </cfRule>
    <cfRule type="expression" dxfId="2779" priority="13564">
      <formula>IF($B36="Quoting",TRUE,FALSE)</formula>
    </cfRule>
    <cfRule type="expression" dxfId="2778" priority="13565">
      <formula>IF($B36="Quoting",TRUE,FALSE)</formula>
    </cfRule>
    <cfRule type="expression" dxfId="2777" priority="13566">
      <formula>IF($B36="Quoting",TRUE,FALSE)</formula>
    </cfRule>
    <cfRule type="expression" dxfId="2776" priority="13567">
      <formula>IF($B36="Quoting",TRUE,FALSE)</formula>
    </cfRule>
    <cfRule type="expression" dxfId="2775" priority="13568">
      <formula>IF($B36="Quoting",TRUE,FALSE)</formula>
    </cfRule>
    <cfRule type="expression" dxfId="2774" priority="13569">
      <formula>IF($B36="Quoting",TRUE,FALSE)</formula>
    </cfRule>
    <cfRule type="expression" dxfId="2773" priority="13570">
      <formula>IF($B36="Quoting",TRUE,FALSE)</formula>
    </cfRule>
    <cfRule type="expression" dxfId="2772" priority="13571">
      <formula>IF($B36="Quoting",TRUE,FALSE)</formula>
    </cfRule>
    <cfRule type="expression" dxfId="2771" priority="13572">
      <formula>IF($B36="Quoting",TRUE,FALSE)</formula>
    </cfRule>
    <cfRule type="expression" dxfId="2770" priority="13573">
      <formula>IF($B36="Quoting",TRUE,FALSE)</formula>
    </cfRule>
    <cfRule type="expression" dxfId="2769" priority="13574">
      <formula>IF($B36="Quoting",TRUE,FALSE)</formula>
    </cfRule>
    <cfRule type="expression" dxfId="2768" priority="13575">
      <formula>IF($B36="Quoting",TRUE,FALSE)</formula>
    </cfRule>
    <cfRule type="expression" dxfId="2767" priority="13576">
      <formula>IF($B36="Quoting",TRUE,FALSE)</formula>
    </cfRule>
    <cfRule type="expression" dxfId="2766" priority="13577">
      <formula>IF($B36="Quoting",TRUE,FALSE)</formula>
    </cfRule>
    <cfRule type="expression" dxfId="2765" priority="13578">
      <formula>IF($B36="Quoting",TRUE,FALSE)</formula>
    </cfRule>
    <cfRule type="expression" dxfId="2764" priority="13579">
      <formula>IF($B36="Quoting",TRUE,FALSE)</formula>
    </cfRule>
    <cfRule type="expression" dxfId="2763" priority="13580">
      <formula>IF($B36="Quoting",TRUE,FALSE)</formula>
    </cfRule>
    <cfRule type="expression" dxfId="2762" priority="13581">
      <formula>IF($B36="Quoting",TRUE,FALSE)</formula>
    </cfRule>
    <cfRule type="expression" dxfId="2761" priority="13582">
      <formula>IF($B36="Quoting",TRUE,FALSE)</formula>
    </cfRule>
    <cfRule type="expression" dxfId="2760" priority="13583">
      <formula>IF($B36="Quoting",TRUE,FALSE)</formula>
    </cfRule>
    <cfRule type="expression" dxfId="2759" priority="13584">
      <formula>IF($B36="Quoting",TRUE,FALSE)</formula>
    </cfRule>
    <cfRule type="expression" dxfId="2758" priority="13585">
      <formula>IF($B36="Quoting",TRUE,FALSE)</formula>
    </cfRule>
    <cfRule type="expression" dxfId="2757" priority="13586">
      <formula>IF($B36="Quoting",TRUE,FALSE)</formula>
    </cfRule>
    <cfRule type="expression" dxfId="2756" priority="13587">
      <formula>IF($B36="Quoting",TRUE,FALSE)</formula>
    </cfRule>
    <cfRule type="expression" dxfId="2755" priority="13588">
      <formula>IF($B36="Quoting",TRUE,FALSE)</formula>
    </cfRule>
    <cfRule type="expression" dxfId="2754" priority="13589">
      <formula>IF($B36="Quoting",TRUE,FALSE)</formula>
    </cfRule>
    <cfRule type="expression" dxfId="2753" priority="13590">
      <formula>IF($B36="Quoting",TRUE,FALSE)</formula>
    </cfRule>
    <cfRule type="expression" dxfId="2752" priority="13591">
      <formula>IF($B36="Quoting",TRUE,FALSE)</formula>
    </cfRule>
    <cfRule type="expression" dxfId="2751" priority="13592">
      <formula>IF($B36="Quoting",TRUE,FALSE)</formula>
    </cfRule>
    <cfRule type="expression" dxfId="2750" priority="13593">
      <formula>IF($B36="Quoting",TRUE,FALSE)</formula>
    </cfRule>
    <cfRule type="expression" dxfId="2749" priority="13594">
      <formula>IF($B36="Quoting",TRUE,FALSE)</formula>
    </cfRule>
    <cfRule type="expression" dxfId="2748" priority="13595">
      <formula>IF($B36="Quoting",TRUE,FALSE)</formula>
    </cfRule>
    <cfRule type="expression" dxfId="2747" priority="13596">
      <formula>IF($B36="Quoting",TRUE,FALSE)</formula>
    </cfRule>
    <cfRule type="expression" dxfId="2746" priority="13597">
      <formula>IF($B36="Quoting",TRUE,FALSE)</formula>
    </cfRule>
    <cfRule type="expression" dxfId="2745" priority="13598">
      <formula>IF($B36="Quoting",TRUE,FALSE)</formula>
    </cfRule>
    <cfRule type="expression" dxfId="2744" priority="13599">
      <formula>IF($B36="Quoting",TRUE,FALSE)</formula>
    </cfRule>
    <cfRule type="expression" dxfId="2743" priority="13600">
      <formula>IF($B36="Quoting",TRUE,FALSE)</formula>
    </cfRule>
    <cfRule type="expression" dxfId="2742" priority="13601">
      <formula>IF($B36="Quoting",TRUE,FALSE)</formula>
    </cfRule>
    <cfRule type="expression" dxfId="2741" priority="13602">
      <formula>IF($B36="Quoting",TRUE,FALSE)</formula>
    </cfRule>
    <cfRule type="expression" dxfId="2740" priority="13603">
      <formula>IF($B36="Quoting",TRUE,FALSE)</formula>
    </cfRule>
    <cfRule type="expression" dxfId="2739" priority="13604">
      <formula>IF($B36="Quoting",TRUE,FALSE)</formula>
    </cfRule>
    <cfRule type="expression" dxfId="2738" priority="13605">
      <formula>IF($B36="Quoting",TRUE,FALSE)</formula>
    </cfRule>
    <cfRule type="expression" dxfId="2737" priority="13606">
      <formula>IF($B36="Quoting",TRUE,FALSE)</formula>
    </cfRule>
    <cfRule type="expression" dxfId="2736" priority="13607">
      <formula>IF($B36="Quoting",TRUE,FALSE)</formula>
    </cfRule>
    <cfRule type="expression" dxfId="2735" priority="13608">
      <formula>IF($B36="Quoting",TRUE,FALSE)</formula>
    </cfRule>
    <cfRule type="expression" dxfId="2734" priority="13609">
      <formula>IF($B36="Quoting",TRUE,FALSE)</formula>
    </cfRule>
    <cfRule type="expression" dxfId="2733" priority="13610">
      <formula>IF($B36="Quoting",TRUE,FALSE)</formula>
    </cfRule>
    <cfRule type="expression" dxfId="2732" priority="13611">
      <formula>IF($B36="Quoting",TRUE,FALSE)</formula>
    </cfRule>
    <cfRule type="expression" dxfId="2731" priority="13612">
      <formula>IF($B36="Quoting",TRUE,FALSE)</formula>
    </cfRule>
    <cfRule type="expression" dxfId="2730" priority="13613">
      <formula>IF($B36="Quoting",TRUE,FALSE)</formula>
    </cfRule>
    <cfRule type="expression" dxfId="2729" priority="13614">
      <formula>IF($B36="Quoting",TRUE,FALSE)</formula>
    </cfRule>
    <cfRule type="expression" dxfId="2728" priority="13615">
      <formula>IF($B36="Quoting",TRUE,FALSE)</formula>
    </cfRule>
    <cfRule type="expression" dxfId="2727" priority="13616">
      <formula>IF($B36="Quoting",TRUE,FALSE)</formula>
    </cfRule>
    <cfRule type="expression" dxfId="2726" priority="13617">
      <formula>IF($B36="Quoting",TRUE,FALSE)</formula>
    </cfRule>
    <cfRule type="expression" dxfId="2725" priority="13618">
      <formula>IF($B36="Quoting",TRUE,FALSE)</formula>
    </cfRule>
    <cfRule type="expression" dxfId="2724" priority="13619">
      <formula>IF($B36="Quoting",TRUE,FALSE)</formula>
    </cfRule>
    <cfRule type="expression" dxfId="2723" priority="13620">
      <formula>IF($B36="Quoting",TRUE,FALSE)</formula>
    </cfRule>
    <cfRule type="expression" dxfId="2722" priority="13621">
      <formula>IF($B36="Quoting",TRUE,FALSE)</formula>
    </cfRule>
    <cfRule type="expression" dxfId="2721" priority="13622">
      <formula>IF($B36="Quoting",TRUE,FALSE)</formula>
    </cfRule>
    <cfRule type="expression" dxfId="2720" priority="13623">
      <formula>IF($B36="Quoting",TRUE,FALSE)</formula>
    </cfRule>
    <cfRule type="expression" dxfId="2719" priority="13624">
      <formula>IF($B36="Quoting",TRUE,FALSE)</formula>
    </cfRule>
    <cfRule type="expression" dxfId="2718" priority="13625">
      <formula>IF($B36="Quoting",TRUE,FALSE)</formula>
    </cfRule>
    <cfRule type="expression" dxfId="2717" priority="13626">
      <formula>IF($B36="Quoting",TRUE,FALSE)</formula>
    </cfRule>
    <cfRule type="expression" dxfId="2716" priority="13627">
      <formula>IF($B36="Quoting",TRUE,FALSE)</formula>
    </cfRule>
    <cfRule type="expression" dxfId="2715" priority="13628">
      <formula>IF($B36="Quoting",TRUE,FALSE)</formula>
    </cfRule>
    <cfRule type="expression" dxfId="2714" priority="13629">
      <formula>IF($B36="Quoting",TRUE,FALSE)</formula>
    </cfRule>
    <cfRule type="expression" dxfId="2713" priority="13630">
      <formula>IF($B36="Quoting",TRUE,FALSE)</formula>
    </cfRule>
    <cfRule type="expression" dxfId="2712" priority="13631">
      <formula>IF($B36="Quoting",TRUE,FALSE)</formula>
    </cfRule>
    <cfRule type="expression" dxfId="2711" priority="13632">
      <formula>IF($B36="Quoting",TRUE,FALSE)</formula>
    </cfRule>
    <cfRule type="expression" dxfId="2710" priority="13633">
      <formula>IF($B36="Quoting",TRUE,FALSE)</formula>
    </cfRule>
    <cfRule type="expression" dxfId="2709" priority="13634">
      <formula>IF($B36="Quoting",TRUE,FALSE)</formula>
    </cfRule>
    <cfRule type="expression" dxfId="2708" priority="13635">
      <formula>IF($B36="Quoting",TRUE,FALSE)</formula>
    </cfRule>
    <cfRule type="expression" dxfId="2707" priority="13636">
      <formula>IF($B36="Quoting",TRUE,FALSE)</formula>
    </cfRule>
    <cfRule type="expression" dxfId="2706" priority="13637">
      <formula>IF($B36="Quoting",TRUE,FALSE)</formula>
    </cfRule>
    <cfRule type="expression" dxfId="2705" priority="13638">
      <formula>IF($B36="Quoting",TRUE,FALSE)</formula>
    </cfRule>
    <cfRule type="expression" dxfId="2704" priority="13639">
      <formula>IF($B36="Quoting",TRUE,FALSE)</formula>
    </cfRule>
    <cfRule type="expression" dxfId="2703" priority="13640">
      <formula>IF($B36="Quoting",TRUE,FALSE)</formula>
    </cfRule>
    <cfRule type="expression" dxfId="2702" priority="13641">
      <formula>IF($B36="Quoting",TRUE,FALSE)</formula>
    </cfRule>
    <cfRule type="expression" dxfId="2701" priority="13642">
      <formula>IF($B36="Quoting",TRUE,FALSE)</formula>
    </cfRule>
    <cfRule type="expression" dxfId="2700" priority="13643">
      <formula>IF($B36="Quoting",TRUE,FALSE)</formula>
    </cfRule>
    <cfRule type="expression" dxfId="2699" priority="13644">
      <formula>IF($B36="Quoting",TRUE,FALSE)</formula>
    </cfRule>
    <cfRule type="expression" dxfId="2698" priority="13645">
      <formula>IF($B36="Quoting",TRUE,FALSE)</formula>
    </cfRule>
    <cfRule type="expression" dxfId="2697" priority="13646">
      <formula>IF($B36="Quoting",TRUE,FALSE)</formula>
    </cfRule>
    <cfRule type="expression" dxfId="2696" priority="13647">
      <formula>IF($B36="Quoting",TRUE,FALSE)</formula>
    </cfRule>
    <cfRule type="expression" dxfId="2695" priority="13648">
      <formula>IF($B36="Quoting",TRUE,FALSE)</formula>
    </cfRule>
    <cfRule type="expression" dxfId="2694" priority="13649">
      <formula>IF($B36="Quoting",TRUE,FALSE)</formula>
    </cfRule>
    <cfRule type="expression" dxfId="2693" priority="13650">
      <formula>IF($B36="Quoting",TRUE,FALSE)</formula>
    </cfRule>
    <cfRule type="expression" dxfId="2692" priority="13651">
      <formula>IF($B36="Quoting",TRUE,FALSE)</formula>
    </cfRule>
    <cfRule type="expression" dxfId="2691" priority="13652">
      <formula>IF($B36="Quoting",TRUE,FALSE)</formula>
    </cfRule>
    <cfRule type="expression" dxfId="2690" priority="13653">
      <formula>IF($B36="Quoting",TRUE,FALSE)</formula>
    </cfRule>
    <cfRule type="expression" dxfId="2689" priority="13654">
      <formula>IF($B36="Quoting",TRUE,FALSE)</formula>
    </cfRule>
    <cfRule type="expression" dxfId="2688" priority="13655">
      <formula>IF($B36="Quoting",TRUE,FALSE)</formula>
    </cfRule>
    <cfRule type="expression" dxfId="2687" priority="13656">
      <formula>IF($B36="Quoting",TRUE,FALSE)</formula>
    </cfRule>
    <cfRule type="expression" dxfId="2686" priority="13657">
      <formula>IF($B36="Quoting",TRUE,FALSE)</formula>
    </cfRule>
    <cfRule type="expression" dxfId="2685" priority="13658">
      <formula>IF($B36="Quoting",TRUE,FALSE)</formula>
    </cfRule>
    <cfRule type="expression" dxfId="2684" priority="13659">
      <formula>IF($B36="Quoting",TRUE,FALSE)</formula>
    </cfRule>
    <cfRule type="expression" dxfId="2683" priority="13660">
      <formula>IF($B36="Quoting",TRUE,FALSE)</formula>
    </cfRule>
    <cfRule type="expression" dxfId="2682" priority="13661">
      <formula>IF($B36="Quoting",TRUE,FALSE)</formula>
    </cfRule>
    <cfRule type="expression" dxfId="2681" priority="13662">
      <formula>IF($B36="Quoting",TRUE,FALSE)</formula>
    </cfRule>
    <cfRule type="expression" dxfId="2680" priority="13663">
      <formula>IF($B36="Quoting",TRUE,FALSE)</formula>
    </cfRule>
    <cfRule type="expression" dxfId="2679" priority="13664">
      <formula>IF($B36="Quoting",TRUE,FALSE)</formula>
    </cfRule>
    <cfRule type="expression" dxfId="2678" priority="13665">
      <formula>IF($B36="Quoting",TRUE,FALSE)</formula>
    </cfRule>
    <cfRule type="expression" dxfId="2677" priority="13666">
      <formula>IF($B36="Quoting",TRUE,FALSE)</formula>
    </cfRule>
    <cfRule type="expression" dxfId="2676" priority="13667">
      <formula>IF($B36="Quoting",TRUE,FALSE)</formula>
    </cfRule>
    <cfRule type="expression" dxfId="2675" priority="13668">
      <formula>IF($B36="Quoting",TRUE,FALSE)</formula>
    </cfRule>
    <cfRule type="expression" dxfId="2674" priority="13669">
      <formula>IF($B36="Quoting",TRUE,FALSE)</formula>
    </cfRule>
    <cfRule type="expression" dxfId="2673" priority="13670">
      <formula>IF($B36="Quoting",TRUE,FALSE)</formula>
    </cfRule>
    <cfRule type="expression" dxfId="2672" priority="13671">
      <formula>IF($B36="Quoting",TRUE,FALSE)</formula>
    </cfRule>
    <cfRule type="expression" dxfId="2671" priority="13672">
      <formula>IF($B36="Quoting",TRUE,FALSE)</formula>
    </cfRule>
    <cfRule type="expression" dxfId="2670" priority="13673">
      <formula>IF($B36="Quoting",TRUE,FALSE)</formula>
    </cfRule>
    <cfRule type="expression" dxfId="2669" priority="13674">
      <formula>IF($B36="Quoting",TRUE,FALSE)</formula>
    </cfRule>
    <cfRule type="expression" dxfId="2668" priority="13675">
      <formula>IF($B36="Quoting",TRUE,FALSE)</formula>
    </cfRule>
    <cfRule type="expression" dxfId="2667" priority="13676">
      <formula>IF($B36="Quoting",TRUE,FALSE)</formula>
    </cfRule>
    <cfRule type="expression" dxfId="2666" priority="13677">
      <formula>IF($B36="Quoting",TRUE,FALSE)</formula>
    </cfRule>
    <cfRule type="expression" dxfId="2665" priority="13678">
      <formula>IF($B36="Quoting",TRUE,FALSE)</formula>
    </cfRule>
    <cfRule type="expression" dxfId="2664" priority="13679">
      <formula>IF($B36="Quoting",TRUE,FALSE)</formula>
    </cfRule>
    <cfRule type="expression" dxfId="2663" priority="13680">
      <formula>IF($B36="Quoting",TRUE,FALSE)</formula>
    </cfRule>
    <cfRule type="expression" dxfId="2662" priority="13681">
      <formula>IF($B36="Quoting",TRUE,FALSE)</formula>
    </cfRule>
    <cfRule type="expression" dxfId="2661" priority="13682">
      <formula>IF($B36="Quoting",TRUE,FALSE)</formula>
    </cfRule>
    <cfRule type="expression" dxfId="2660" priority="13683">
      <formula>IF($B36="Quoting",TRUE,FALSE)</formula>
    </cfRule>
    <cfRule type="expression" dxfId="2659" priority="13684">
      <formula>IF($B36="Quoting",TRUE,FALSE)</formula>
    </cfRule>
    <cfRule type="expression" dxfId="2658" priority="13685">
      <formula>IF($B36="Quoting",TRUE,FALSE)</formula>
    </cfRule>
    <cfRule type="expression" dxfId="2657" priority="13686">
      <formula>IF($B36="Quoting",TRUE,FALSE)</formula>
    </cfRule>
    <cfRule type="expression" dxfId="2656" priority="13687">
      <formula>IF($B36="Quoting",TRUE,FALSE)</formula>
    </cfRule>
    <cfRule type="expression" dxfId="2655" priority="13688">
      <formula>IF($B36="Quoting",TRUE,FALSE)</formula>
    </cfRule>
    <cfRule type="expression" dxfId="2654" priority="13689">
      <formula>IF($B36="Quoting",TRUE,FALSE)</formula>
    </cfRule>
    <cfRule type="expression" dxfId="2653" priority="13690">
      <formula>IF($B36="Quoting",TRUE,FALSE)</formula>
    </cfRule>
    <cfRule type="expression" dxfId="2652" priority="13691">
      <formula>IF($B36="Quoting",TRUE,FALSE)</formula>
    </cfRule>
    <cfRule type="expression" dxfId="2651" priority="13692">
      <formula>IF($B36="Quoting",TRUE,FALSE)</formula>
    </cfRule>
    <cfRule type="expression" dxfId="2650" priority="13693">
      <formula>IF($B36="Quoting",TRUE,FALSE)</formula>
    </cfRule>
    <cfRule type="expression" dxfId="2649" priority="13694">
      <formula>IF($B36="Quoting",TRUE,FALSE)</formula>
    </cfRule>
    <cfRule type="expression" dxfId="2648" priority="13695">
      <formula>IF($B36="Quoting",TRUE,FALSE)</formula>
    </cfRule>
    <cfRule type="expression" dxfId="2647" priority="13696">
      <formula>IF($B36="Quoting",TRUE,FALSE)</formula>
    </cfRule>
    <cfRule type="expression" dxfId="2646" priority="13697">
      <formula>IF($B36="Quoting",TRUE,FALSE)</formula>
    </cfRule>
    <cfRule type="expression" dxfId="2645" priority="13698">
      <formula>IF($B36="Quoting",TRUE,FALSE)</formula>
    </cfRule>
    <cfRule type="expression" dxfId="2644" priority="13699">
      <formula>IF($B36="Quoting",TRUE,FALSE)</formula>
    </cfRule>
    <cfRule type="expression" dxfId="2643" priority="13700">
      <formula>IF($B36="Quoting",TRUE,FALSE)</formula>
    </cfRule>
    <cfRule type="expression" dxfId="2642" priority="13701">
      <formula>IF($B36="Quoting",TRUE,FALSE)</formula>
    </cfRule>
    <cfRule type="expression" dxfId="2641" priority="13702">
      <formula>IF($B36="Quoting",TRUE,FALSE)</formula>
    </cfRule>
    <cfRule type="expression" dxfId="2640" priority="13703">
      <formula>IF($B36="Quoting",TRUE,FALSE)</formula>
    </cfRule>
    <cfRule type="expression" dxfId="2639" priority="13704">
      <formula>IF($B36="Quoting",TRUE,FALSE)</formula>
    </cfRule>
    <cfRule type="expression" dxfId="2638" priority="13705">
      <formula>IF($B36="Quoting",TRUE,FALSE)</formula>
    </cfRule>
    <cfRule type="expression" dxfId="2637" priority="13706">
      <formula>IF($B36="Quoting",TRUE,FALSE)</formula>
    </cfRule>
    <cfRule type="expression" dxfId="2636" priority="13707">
      <formula>IF($B36="Quoting",TRUE,FALSE)</formula>
    </cfRule>
    <cfRule type="expression" dxfId="2635" priority="13708">
      <formula>IF($B36="Quoting",TRUE,FALSE)</formula>
    </cfRule>
    <cfRule type="expression" dxfId="2634" priority="13709">
      <formula>IF($B36="Quoting",TRUE,FALSE)</formula>
    </cfRule>
    <cfRule type="expression" dxfId="2633" priority="13710">
      <formula>IF($B36="Quoting",TRUE,FALSE)</formula>
    </cfRule>
    <cfRule type="expression" dxfId="2632" priority="13711">
      <formula>IF($B36="Quoting",TRUE,FALSE)</formula>
    </cfRule>
    <cfRule type="expression" dxfId="2631" priority="13712">
      <formula>IF($B36="Quoting",TRUE,FALSE)</formula>
    </cfRule>
    <cfRule type="expression" dxfId="2630" priority="13713">
      <formula>IF($B36="Quoting",TRUE,FALSE)</formula>
    </cfRule>
    <cfRule type="expression" dxfId="2629" priority="13714">
      <formula>IF($B36="Quoting",TRUE,FALSE)</formula>
    </cfRule>
    <cfRule type="expression" dxfId="2628" priority="13715">
      <formula>IF($B36="Quoting",TRUE,FALSE)</formula>
    </cfRule>
    <cfRule type="expression" dxfId="2627" priority="13716">
      <formula>IF($B36="Quoting",TRUE,FALSE)</formula>
    </cfRule>
    <cfRule type="expression" dxfId="2626" priority="13717">
      <formula>IF($B36="Quoting",TRUE,FALSE)</formula>
    </cfRule>
    <cfRule type="expression" dxfId="2625" priority="13718">
      <formula>IF($B36="Quoting",TRUE,FALSE)</formula>
    </cfRule>
    <cfRule type="expression" dxfId="2624" priority="13719">
      <formula>IF($B36="Quoting",TRUE,FALSE)</formula>
    </cfRule>
    <cfRule type="expression" dxfId="2623" priority="13720">
      <formula>IF($B36="Quoting",TRUE,FALSE)</formula>
    </cfRule>
    <cfRule type="expression" dxfId="2622" priority="13721">
      <formula>IF($B36="Quoting",TRUE,FALSE)</formula>
    </cfRule>
    <cfRule type="expression" dxfId="2621" priority="13722">
      <formula>IF($B36="Quoting",TRUE,FALSE)</formula>
    </cfRule>
    <cfRule type="expression" dxfId="2620" priority="13723">
      <formula>IF($B36="Quoting",TRUE,FALSE)</formula>
    </cfRule>
    <cfRule type="expression" dxfId="2619" priority="13724">
      <formula>IF($B36="Quoting",TRUE,FALSE)</formula>
    </cfRule>
    <cfRule type="expression" dxfId="2618" priority="13725">
      <formula>IF($B36="Quoting",TRUE,FALSE)</formula>
    </cfRule>
    <cfRule type="expression" dxfId="2617" priority="13726">
      <formula>IF($B36="Quoting",TRUE,FALSE)</formula>
    </cfRule>
    <cfRule type="expression" dxfId="2616" priority="13727">
      <formula>IF($B36="Quoting",TRUE,FALSE)</formula>
    </cfRule>
    <cfRule type="expression" dxfId="2615" priority="13728">
      <formula>IF($B36="Quoting",TRUE,FALSE)</formula>
    </cfRule>
    <cfRule type="expression" dxfId="2614" priority="13729">
      <formula>IF($B36="Quoting",TRUE,FALSE)</formula>
    </cfRule>
    <cfRule type="expression" dxfId="2613" priority="13730">
      <formula>IF($B36="Quoting",TRUE,FALSE)</formula>
    </cfRule>
    <cfRule type="expression" dxfId="2612" priority="13731">
      <formula>IF($B36="Quoting",TRUE,FALSE)</formula>
    </cfRule>
    <cfRule type="expression" dxfId="2611" priority="13732">
      <formula>IF($B36="Quoting",TRUE,FALSE)</formula>
    </cfRule>
    <cfRule type="expression" dxfId="2610" priority="13733">
      <formula>IF($B36="Quoting",TRUE,FALSE)</formula>
    </cfRule>
    <cfRule type="expression" dxfId="2609" priority="13734">
      <formula>IF($B36="Quoting",TRUE,FALSE)</formula>
    </cfRule>
    <cfRule type="expression" dxfId="2608" priority="13735">
      <formula>IF($B36="Quoting",TRUE,FALSE)</formula>
    </cfRule>
    <cfRule type="expression" dxfId="2607" priority="13736">
      <formula>IF($B36="Quoting",TRUE,FALSE)</formula>
    </cfRule>
    <cfRule type="expression" dxfId="2606" priority="13737">
      <formula>IF($B36="Quoting",TRUE,FALSE)</formula>
    </cfRule>
    <cfRule type="expression" dxfId="2605" priority="13738">
      <formula>IF($B36="Quoting",TRUE,FALSE)</formula>
    </cfRule>
    <cfRule type="expression" dxfId="2604" priority="13739">
      <formula>IF($B36="Quoting",TRUE,FALSE)</formula>
    </cfRule>
    <cfRule type="expression" dxfId="2603" priority="13740">
      <formula>IF($B36="Quoting",TRUE,FALSE)</formula>
    </cfRule>
    <cfRule type="expression" dxfId="2602" priority="13741">
      <formula>IF($B36="Quoting",TRUE,FALSE)</formula>
    </cfRule>
    <cfRule type="expression" dxfId="2601" priority="13742">
      <formula>IF($B36="Quoting",TRUE,FALSE)</formula>
    </cfRule>
    <cfRule type="expression" dxfId="2600" priority="13743">
      <formula>IF($B36="Quoting",TRUE,FALSE)</formula>
    </cfRule>
    <cfRule type="expression" dxfId="2599" priority="13744">
      <formula>IF($B36="Quoting",TRUE,FALSE)</formula>
    </cfRule>
    <cfRule type="expression" dxfId="2598" priority="13745">
      <formula>IF($B36="Quoting",TRUE,FALSE)</formula>
    </cfRule>
    <cfRule type="expression" dxfId="2597" priority="13746">
      <formula>IF($B36="Quoting",TRUE,FALSE)</formula>
    </cfRule>
    <cfRule type="expression" dxfId="2596" priority="13747">
      <formula>IF($B36="Quoting",TRUE,FALSE)</formula>
    </cfRule>
    <cfRule type="expression" dxfId="2595" priority="13748">
      <formula>IF($B36="Quoting",TRUE,FALSE)</formula>
    </cfRule>
    <cfRule type="expression" dxfId="2594" priority="13749">
      <formula>IF($B36="Quoting",TRUE,FALSE)</formula>
    </cfRule>
    <cfRule type="expression" dxfId="2593" priority="13750">
      <formula>IF($B36="Quoting",TRUE,FALSE)</formula>
    </cfRule>
    <cfRule type="expression" dxfId="2592" priority="13751">
      <formula>IF($B36="Quoting",TRUE,FALSE)</formula>
    </cfRule>
    <cfRule type="expression" dxfId="2591" priority="13752">
      <formula>IF($B36="Quoting",TRUE,FALSE)</formula>
    </cfRule>
    <cfRule type="expression" dxfId="2590" priority="13753">
      <formula>IF($B36="Quoting",TRUE,FALSE)</formula>
    </cfRule>
    <cfRule type="expression" dxfId="2589" priority="13754">
      <formula>IF($B36="Quoting",TRUE,FALSE)</formula>
    </cfRule>
    <cfRule type="expression" dxfId="2588" priority="13755">
      <formula>IF($B36="Quoting",TRUE,FALSE)</formula>
    </cfRule>
    <cfRule type="expression" dxfId="2587" priority="13756">
      <formula>IF($B36="Quoting",TRUE,FALSE)</formula>
    </cfRule>
    <cfRule type="expression" dxfId="2586" priority="13757">
      <formula>IF($B36="Quoting",TRUE,FALSE)</formula>
    </cfRule>
    <cfRule type="expression" dxfId="2585" priority="13758">
      <formula>IF($B36="Quoting",TRUE,FALSE)</formula>
    </cfRule>
    <cfRule type="expression" dxfId="2584" priority="13759">
      <formula>IF($B36="Quoting",TRUE,FALSE)</formula>
    </cfRule>
    <cfRule type="expression" dxfId="2583" priority="13760">
      <formula>IF($B36="Quoting",TRUE,FALSE)</formula>
    </cfRule>
    <cfRule type="expression" dxfId="2582" priority="13761">
      <formula>IF($B36="Quoting",TRUE,FALSE)</formula>
    </cfRule>
    <cfRule type="expression" dxfId="2581" priority="13762">
      <formula>IF($B36="Quoting",TRUE,FALSE)</formula>
    </cfRule>
    <cfRule type="expression" dxfId="2580" priority="13763">
      <formula>IF($B36="Quoting",TRUE,FALSE)</formula>
    </cfRule>
    <cfRule type="expression" dxfId="2579" priority="13764">
      <formula>IF($B36="Quoting",TRUE,FALSE)</formula>
    </cfRule>
    <cfRule type="expression" dxfId="2578" priority="13765">
      <formula>IF($B36="Quoting",TRUE,FALSE)</formula>
    </cfRule>
    <cfRule type="expression" dxfId="2577" priority="13766">
      <formula>IF($B36="Quoting",TRUE,FALSE)</formula>
    </cfRule>
    <cfRule type="expression" dxfId="2576" priority="13767">
      <formula>IF($B36="Quoting",TRUE,FALSE)</formula>
    </cfRule>
    <cfRule type="expression" dxfId="2575" priority="13768">
      <formula>IF($B36="Quoting",TRUE,FALSE)</formula>
    </cfRule>
    <cfRule type="expression" dxfId="2574" priority="13769">
      <formula>IF($B36="Quoting",TRUE,FALSE)</formula>
    </cfRule>
    <cfRule type="expression" dxfId="2573" priority="13770">
      <formula>IF($B36="Quoting",TRUE,FALSE)</formula>
    </cfRule>
    <cfRule type="expression" dxfId="2572" priority="13771">
      <formula>IF($B36="Quoting",TRUE,FALSE)</formula>
    </cfRule>
    <cfRule type="expression" dxfId="2571" priority="13772">
      <formula>IF($B36="Quoting",TRUE,FALSE)</formula>
    </cfRule>
    <cfRule type="expression" dxfId="2570" priority="13773">
      <formula>IF($B36="Quoting",TRUE,FALSE)</formula>
    </cfRule>
    <cfRule type="expression" dxfId="2569" priority="13774">
      <formula>IF($B36="Quoting",TRUE,FALSE)</formula>
    </cfRule>
    <cfRule type="expression" dxfId="2568" priority="13775">
      <formula>IF($B36="Quoting",TRUE,FALSE)</formula>
    </cfRule>
    <cfRule type="expression" dxfId="2567" priority="13776">
      <formula>IF($B36="Quoting",TRUE,FALSE)</formula>
    </cfRule>
    <cfRule type="expression" dxfId="2566" priority="13777">
      <formula>IF($B36="Quoting",TRUE,FALSE)</formula>
    </cfRule>
    <cfRule type="expression" dxfId="2565" priority="13778">
      <formula>IF($B36="Quoting",TRUE,FALSE)</formula>
    </cfRule>
    <cfRule type="expression" dxfId="2564" priority="13779">
      <formula>IF($B36="Quoting",TRUE,FALSE)</formula>
    </cfRule>
    <cfRule type="expression" dxfId="2563" priority="13780">
      <formula>IF($B36="Quoting",TRUE,FALSE)</formula>
    </cfRule>
    <cfRule type="expression" dxfId="2562" priority="13781">
      <formula>IF($B36="Quoting",TRUE,FALSE)</formula>
    </cfRule>
    <cfRule type="expression" dxfId="2561" priority="13782">
      <formula>IF($B36="Quoting",TRUE,FALSE)</formula>
    </cfRule>
    <cfRule type="expression" dxfId="2560" priority="13783">
      <formula>IF($B36="Quoting",TRUE,FALSE)</formula>
    </cfRule>
    <cfRule type="expression" dxfId="2559" priority="13784">
      <formula>IF($B36="Quoting",TRUE,FALSE)</formula>
    </cfRule>
    <cfRule type="expression" dxfId="2558" priority="13785">
      <formula>IF($B36="Quoting",TRUE,FALSE)</formula>
    </cfRule>
    <cfRule type="expression" dxfId="2557" priority="13786">
      <formula>IF($B36="Quoting",TRUE,FALSE)</formula>
    </cfRule>
    <cfRule type="expression" dxfId="2556" priority="13787">
      <formula>IF($B36="Quoting",TRUE,FALSE)</formula>
    </cfRule>
    <cfRule type="expression" dxfId="2555" priority="13788">
      <formula>IF($B36="Quoting",TRUE,FALSE)</formula>
    </cfRule>
    <cfRule type="expression" dxfId="2554" priority="13789">
      <formula>IF($B36="Quoting",TRUE,FALSE)</formula>
    </cfRule>
    <cfRule type="expression" dxfId="2553" priority="13790">
      <formula>IF($B36="Quoting",TRUE,FALSE)</formula>
    </cfRule>
    <cfRule type="expression" dxfId="2552" priority="13791">
      <formula>IF($B36="Quoting",TRUE,FALSE)</formula>
    </cfRule>
    <cfRule type="expression" dxfId="2551" priority="13792">
      <formula>IF($B36="Quoting",TRUE,FALSE)</formula>
    </cfRule>
    <cfRule type="expression" dxfId="2550" priority="13793">
      <formula>IF($B36="Quoting",TRUE,FALSE)</formula>
    </cfRule>
    <cfRule type="expression" dxfId="2549" priority="13794">
      <formula>IF($B36="Quoting",TRUE,FALSE)</formula>
    </cfRule>
    <cfRule type="expression" dxfId="2548" priority="13795">
      <formula>IF($B36="Quoting",TRUE,FALSE)</formula>
    </cfRule>
    <cfRule type="expression" dxfId="2547" priority="13796">
      <formula>IF($B36="Quoting",TRUE,FALSE)</formula>
    </cfRule>
    <cfRule type="expression" dxfId="2546" priority="13797">
      <formula>IF($B36="Quoting",TRUE,FALSE)</formula>
    </cfRule>
    <cfRule type="expression" dxfId="2545" priority="13798">
      <formula>IF($B36="Quoting",TRUE,FALSE)</formula>
    </cfRule>
    <cfRule type="expression" dxfId="2544" priority="13799">
      <formula>IF($B36="Quoting",TRUE,FALSE)</formula>
    </cfRule>
    <cfRule type="expression" dxfId="2543" priority="13800">
      <formula>IF($B36="Quoting",TRUE,FALSE)</formula>
    </cfRule>
    <cfRule type="expression" dxfId="2542" priority="13801">
      <formula>IF($B36="Quoting",TRUE,FALSE)</formula>
    </cfRule>
    <cfRule type="expression" dxfId="2541" priority="13802">
      <formula>IF($B36="Quoting",TRUE,FALSE)</formula>
    </cfRule>
    <cfRule type="expression" dxfId="2540" priority="13803">
      <formula>IF($B36="Quoting",TRUE,FALSE)</formula>
    </cfRule>
    <cfRule type="expression" dxfId="2539" priority="13804">
      <formula>IF($B36="Quoting",TRUE,FALSE)</formula>
    </cfRule>
    <cfRule type="expression" dxfId="2538" priority="13805">
      <formula>IF($B36="Quoting",TRUE,FALSE)</formula>
    </cfRule>
    <cfRule type="expression" dxfId="2537" priority="13806">
      <formula>IF($B36="Quoting",TRUE,FALSE)</formula>
    </cfRule>
    <cfRule type="expression" dxfId="2536" priority="13807">
      <formula>IF($B36="Quoting",TRUE,FALSE)</formula>
    </cfRule>
    <cfRule type="expression" dxfId="2535" priority="13808">
      <formula>IF($B36="Quoting",TRUE,FALSE)</formula>
    </cfRule>
    <cfRule type="expression" dxfId="2534" priority="13809">
      <formula>IF($B36="Quoting",TRUE,FALSE)</formula>
    </cfRule>
    <cfRule type="expression" dxfId="2533" priority="13810">
      <formula>IF($B36="Quoting",TRUE,FALSE)</formula>
    </cfRule>
    <cfRule type="expression" dxfId="2532" priority="13811">
      <formula>IF($B36="Quoting",TRUE,FALSE)</formula>
    </cfRule>
    <cfRule type="expression" dxfId="2531" priority="13812">
      <formula>IF($B36="Quoting",TRUE,FALSE)</formula>
    </cfRule>
    <cfRule type="expression" dxfId="2530" priority="13813">
      <formula>IF($B36="Quoting",TRUE,FALSE)</formula>
    </cfRule>
    <cfRule type="expression" dxfId="2529" priority="13814">
      <formula>IF($B36="Quoting",TRUE,FALSE)</formula>
    </cfRule>
    <cfRule type="expression" dxfId="2528" priority="13815">
      <formula>IF($B36="Quoting",TRUE,FALSE)</formula>
    </cfRule>
    <cfRule type="expression" dxfId="2527" priority="13816">
      <formula>IF($B36="Quoting",TRUE,FALSE)</formula>
    </cfRule>
    <cfRule type="expression" dxfId="2526" priority="13817">
      <formula>IF($B36="Quoting",TRUE,FALSE)</formula>
    </cfRule>
    <cfRule type="expression" dxfId="2525" priority="13818">
      <formula>IF($B36="Quoting",TRUE,FALSE)</formula>
    </cfRule>
    <cfRule type="expression" dxfId="2524" priority="13819">
      <formula>IF($B36="Quoting",TRUE,FALSE)</formula>
    </cfRule>
    <cfRule type="expression" dxfId="2523" priority="13820">
      <formula>IF($B36="Quoting",TRUE,FALSE)</formula>
    </cfRule>
    <cfRule type="expression" dxfId="2522" priority="13821">
      <formula>IF($B36="Quoting",TRUE,FALSE)</formula>
    </cfRule>
    <cfRule type="expression" dxfId="2521" priority="13822">
      <formula>IF($B36="Quoting",TRUE,FALSE)</formula>
    </cfRule>
    <cfRule type="expression" dxfId="2520" priority="13823">
      <formula>IF($B36="Quoting",TRUE,FALSE)</formula>
    </cfRule>
    <cfRule type="expression" dxfId="2519" priority="13824">
      <formula>IF($B36="Quoting",TRUE,FALSE)</formula>
    </cfRule>
    <cfRule type="expression" dxfId="2518" priority="13825">
      <formula>IF($B36="Quoting",TRUE,FALSE)</formula>
    </cfRule>
    <cfRule type="expression" dxfId="2517" priority="13826">
      <formula>IF($B36="Quoting",TRUE,FALSE)</formula>
    </cfRule>
    <cfRule type="expression" dxfId="2516" priority="13827">
      <formula>IF($B36="Quoting",TRUE,FALSE)</formula>
    </cfRule>
    <cfRule type="expression" dxfId="2515" priority="13828">
      <formula>IF($B36="Quoting",TRUE,FALSE)</formula>
    </cfRule>
    <cfRule type="expression" dxfId="2514" priority="13829">
      <formula>IF($B36="Quoting",TRUE,FALSE)</formula>
    </cfRule>
    <cfRule type="expression" dxfId="2513" priority="13830">
      <formula>IF($B36="Quoting",TRUE,FALSE)</formula>
    </cfRule>
    <cfRule type="expression" dxfId="2512" priority="13831">
      <formula>IF($B36="Quoting",TRUE,FALSE)</formula>
    </cfRule>
    <cfRule type="expression" dxfId="2511" priority="13832">
      <formula>IF($B36="Quoting",TRUE,FALSE)</formula>
    </cfRule>
    <cfRule type="expression" dxfId="2510" priority="13833">
      <formula>IF($B36="Quoting",TRUE,FALSE)</formula>
    </cfRule>
    <cfRule type="expression" dxfId="2509" priority="13834">
      <formula>IF($B36="Quoting",TRUE,FALSE)</formula>
    </cfRule>
    <cfRule type="expression" dxfId="2508" priority="13835">
      <formula>IF($B36="Quoting",TRUE,FALSE)</formula>
    </cfRule>
    <cfRule type="expression" dxfId="2507" priority="13836">
      <formula>IF($B36="Quoting",TRUE,FALSE)</formula>
    </cfRule>
    <cfRule type="expression" dxfId="2506" priority="13837">
      <formula>IF($B36="Quoting",TRUE,FALSE)</formula>
    </cfRule>
    <cfRule type="expression" dxfId="2505" priority="13838">
      <formula>IF($B36="Quoting",TRUE,FALSE)</formula>
    </cfRule>
    <cfRule type="expression" dxfId="2504" priority="13839">
      <formula>IF($B36="Quoting",TRUE,FALSE)</formula>
    </cfRule>
    <cfRule type="expression" dxfId="2503" priority="13840">
      <formula>IF($B36="Quoting",TRUE,FALSE)</formula>
    </cfRule>
    <cfRule type="expression" dxfId="2502" priority="13841">
      <formula>IF($B36="Quoting",TRUE,FALSE)</formula>
    </cfRule>
    <cfRule type="expression" dxfId="2501" priority="13842">
      <formula>IF($B36="Quoting",TRUE,FALSE)</formula>
    </cfRule>
    <cfRule type="expression" dxfId="2500" priority="13843">
      <formula>IF($B36="Quoting",TRUE,FALSE)</formula>
    </cfRule>
    <cfRule type="expression" dxfId="2499" priority="13844">
      <formula>IF($B36="Quoting",TRUE,FALSE)</formula>
    </cfRule>
    <cfRule type="expression" dxfId="2498" priority="13845">
      <formula>IF($B36="Quoting",TRUE,FALSE)</formula>
    </cfRule>
    <cfRule type="expression" dxfId="2497" priority="13846">
      <formula>IF($B36="Quoting",TRUE,FALSE)</formula>
    </cfRule>
    <cfRule type="expression" dxfId="2496" priority="13847">
      <formula>IF($B36="Quoting",TRUE,FALSE)</formula>
    </cfRule>
    <cfRule type="expression" dxfId="2495" priority="13848">
      <formula>IF($B36="Quoting",TRUE,FALSE)</formula>
    </cfRule>
    <cfRule type="expression" dxfId="2494" priority="13849">
      <formula>IF($B36="Quoting",TRUE,FALSE)</formula>
    </cfRule>
    <cfRule type="expression" dxfId="2493" priority="13850">
      <formula>IF($B36="Quoting",TRUE,FALSE)</formula>
    </cfRule>
    <cfRule type="expression" dxfId="2492" priority="13851">
      <formula>IF($B36="Quoting",TRUE,FALSE)</formula>
    </cfRule>
    <cfRule type="expression" dxfId="2491" priority="13852">
      <formula>IF($B36="Quoting",TRUE,FALSE)</formula>
    </cfRule>
    <cfRule type="expression" dxfId="2490" priority="13853">
      <formula>IF($B36="Quoting",TRUE,FALSE)</formula>
    </cfRule>
    <cfRule type="expression" dxfId="2489" priority="13854">
      <formula>IF($B36="Quoting",TRUE,FALSE)</formula>
    </cfRule>
    <cfRule type="expression" dxfId="2488" priority="13855">
      <formula>IF($B36="Quoting",TRUE,FALSE)</formula>
    </cfRule>
    <cfRule type="expression" dxfId="2487" priority="13856">
      <formula>IF($B36="Quoting",TRUE,FALSE)</formula>
    </cfRule>
    <cfRule type="expression" dxfId="2486" priority="13857">
      <formula>IF($B36="Quoting",TRUE,FALSE)</formula>
    </cfRule>
    <cfRule type="expression" dxfId="2485" priority="13858">
      <formula>IF($B36="Quoting",TRUE,FALSE)</formula>
    </cfRule>
    <cfRule type="expression" dxfId="2484" priority="13859">
      <formula>IF($B36="Quoting",TRUE,FALSE)</formula>
    </cfRule>
    <cfRule type="expression" dxfId="2483" priority="13860">
      <formula>IF($B36="Quoting",TRUE,FALSE)</formula>
    </cfRule>
    <cfRule type="expression" dxfId="2482" priority="13861">
      <formula>IF($B36="Quoting",TRUE,FALSE)</formula>
    </cfRule>
    <cfRule type="expression" dxfId="2481" priority="13862">
      <formula>IF($B36="Quoting",TRUE,FALSE)</formula>
    </cfRule>
    <cfRule type="expression" dxfId="2480" priority="13863">
      <formula>IF($B36="Quoting",TRUE,FALSE)</formula>
    </cfRule>
    <cfRule type="expression" dxfId="2479" priority="13864">
      <formula>IF($B36="Quoting",TRUE,FALSE)</formula>
    </cfRule>
    <cfRule type="expression" dxfId="2478" priority="13865">
      <formula>IF($B36="Quoting",TRUE,FALSE)</formula>
    </cfRule>
    <cfRule type="expression" dxfId="2477" priority="13866">
      <formula>IF($B36="Quoting",TRUE,FALSE)</formula>
    </cfRule>
    <cfRule type="expression" dxfId="2476" priority="13867">
      <formula>IF($B36="Quoting",TRUE,FALSE)</formula>
    </cfRule>
    <cfRule type="expression" dxfId="2475" priority="13868">
      <formula>IF($B36="Quoting",TRUE,FALSE)</formula>
    </cfRule>
    <cfRule type="expression" dxfId="2474" priority="13869">
      <formula>IF($B36="Quoting",TRUE,FALSE)</formula>
    </cfRule>
    <cfRule type="expression" dxfId="2473" priority="13870">
      <formula>IF($B36="Quoting",TRUE,FALSE)</formula>
    </cfRule>
    <cfRule type="expression" dxfId="2472" priority="13871">
      <formula>IF($B36="Quoting",TRUE,FALSE)</formula>
    </cfRule>
    <cfRule type="expression" dxfId="2471" priority="13872">
      <formula>IF($B36="Quoting",TRUE,FALSE)</formula>
    </cfRule>
    <cfRule type="expression" dxfId="2470" priority="13873">
      <formula>IF($B36="Quoting",TRUE,FALSE)</formula>
    </cfRule>
    <cfRule type="expression" dxfId="2469" priority="13874">
      <formula>IF($B36="Quoting",TRUE,FALSE)</formula>
    </cfRule>
    <cfRule type="expression" dxfId="2468" priority="13875">
      <formula>IF($B36="Quoting",TRUE,FALSE)</formula>
    </cfRule>
    <cfRule type="expression" dxfId="2467" priority="13876">
      <formula>IF($B36="Quoting",TRUE,FALSE)</formula>
    </cfRule>
    <cfRule type="expression" dxfId="2466" priority="13877">
      <formula>IF($B36="Quoting",TRUE,FALSE)</formula>
    </cfRule>
    <cfRule type="expression" dxfId="2465" priority="13878">
      <formula>IF($B36="Quoting",TRUE,FALSE)</formula>
    </cfRule>
    <cfRule type="expression" dxfId="2464" priority="13879">
      <formula>IF($B36="Quoting",TRUE,FALSE)</formula>
    </cfRule>
    <cfRule type="expression" dxfId="2463" priority="13880">
      <formula>IF($B36="Quoting",TRUE,FALSE)</formula>
    </cfRule>
    <cfRule type="expression" dxfId="2462" priority="13881">
      <formula>IF($B36="Quoting",TRUE,FALSE)</formula>
    </cfRule>
    <cfRule type="expression" dxfId="2461" priority="13882">
      <formula>IF($B36="Quoting",TRUE,FALSE)</formula>
    </cfRule>
    <cfRule type="expression" dxfId="2460" priority="13883">
      <formula>IF($B36="Quoting",TRUE,FALSE)</formula>
    </cfRule>
    <cfRule type="expression" dxfId="2459" priority="13884">
      <formula>IF($B36="Quoting",TRUE,FALSE)</formula>
    </cfRule>
    <cfRule type="expression" dxfId="2458" priority="13885">
      <formula>IF($B36="Quoting",TRUE,FALSE)</formula>
    </cfRule>
    <cfRule type="expression" dxfId="2457" priority="13886">
      <formula>IF($B36="Quoting",TRUE,FALSE)</formula>
    </cfRule>
    <cfRule type="expression" dxfId="2456" priority="13887">
      <formula>IF($B36="Quoting",TRUE,FALSE)</formula>
    </cfRule>
    <cfRule type="expression" dxfId="2455" priority="13888">
      <formula>IF($B36="Quoting",TRUE,FALSE)</formula>
    </cfRule>
    <cfRule type="expression" dxfId="2454" priority="13889">
      <formula>IF($B36="Quoting",TRUE,FALSE)</formula>
    </cfRule>
    <cfRule type="expression" dxfId="2453" priority="13890">
      <formula>IF($B36="Quoting",TRUE,FALSE)</formula>
    </cfRule>
    <cfRule type="expression" dxfId="2452" priority="13891">
      <formula>IF($B36="Quoting",TRUE,FALSE)</formula>
    </cfRule>
    <cfRule type="expression" dxfId="2451" priority="13892">
      <formula>IF($B36="Quoting",TRUE,FALSE)</formula>
    </cfRule>
    <cfRule type="expression" dxfId="2450" priority="13893">
      <formula>IF($B36="Quoting",TRUE,FALSE)</formula>
    </cfRule>
    <cfRule type="expression" dxfId="2449" priority="13894">
      <formula>IF($B36="Quoting",TRUE,FALSE)</formula>
    </cfRule>
    <cfRule type="expression" dxfId="2448" priority="13895">
      <formula>IF($B36="Quoting",TRUE,FALSE)</formula>
    </cfRule>
    <cfRule type="expression" dxfId="2447" priority="13896">
      <formula>IF($B36="Quoting",TRUE,FALSE)</formula>
    </cfRule>
    <cfRule type="expression" dxfId="2446" priority="13897">
      <formula>IF($B36="Quoting",TRUE,FALSE)</formula>
    </cfRule>
    <cfRule type="expression" dxfId="2445" priority="13898">
      <formula>IF($B36="Quoting",TRUE,FALSE)</formula>
    </cfRule>
    <cfRule type="expression" dxfId="2444" priority="13899">
      <formula>IF($B36="Quoting",TRUE,FALSE)</formula>
    </cfRule>
    <cfRule type="expression" dxfId="2443" priority="13900">
      <formula>IF($B36="Quoting",TRUE,FALSE)</formula>
    </cfRule>
    <cfRule type="expression" dxfId="2442" priority="13901">
      <formula>IF($B36="Quoting",TRUE,FALSE)</formula>
    </cfRule>
    <cfRule type="expression" dxfId="2441" priority="13902">
      <formula>IF($B36="Quoting",TRUE,FALSE)</formula>
    </cfRule>
    <cfRule type="expression" dxfId="2440" priority="13903">
      <formula>IF($B36="Quoting",TRUE,FALSE)</formula>
    </cfRule>
    <cfRule type="expression" dxfId="2439" priority="13904">
      <formula>IF($B36="Quoting",TRUE,FALSE)</formula>
    </cfRule>
    <cfRule type="expression" dxfId="2438" priority="13905">
      <formula>IF($B36="Quoting",TRUE,FALSE)</formula>
    </cfRule>
    <cfRule type="expression" dxfId="2437" priority="13906">
      <formula>IF($B36="Quoting",TRUE,FALSE)</formula>
    </cfRule>
    <cfRule type="expression" dxfId="2436" priority="13907">
      <formula>IF($B36="Quoting",TRUE,FALSE)</formula>
    </cfRule>
    <cfRule type="expression" dxfId="2435" priority="13908">
      <formula>IF($B36="Quoting",TRUE,FALSE)</formula>
    </cfRule>
    <cfRule type="expression" dxfId="2434" priority="13909">
      <formula>IF($B36="Quoting",TRUE,FALSE)</formula>
    </cfRule>
    <cfRule type="expression" dxfId="2433" priority="13910">
      <formula>IF($B36="Quoting",TRUE,FALSE)</formula>
    </cfRule>
    <cfRule type="expression" dxfId="2432" priority="13911">
      <formula>IF($B36="Quoting",TRUE,FALSE)</formula>
    </cfRule>
    <cfRule type="expression" dxfId="2431" priority="13912">
      <formula>IF($B36="Quoting",TRUE,FALSE)</formula>
    </cfRule>
    <cfRule type="expression" dxfId="2430" priority="13913">
      <formula>IF($B36="Quoting",TRUE,FALSE)</formula>
    </cfRule>
    <cfRule type="expression" dxfId="2429" priority="13914">
      <formula>IF($B36="Quoting",TRUE,FALSE)</formula>
    </cfRule>
    <cfRule type="expression" dxfId="2428" priority="13915">
      <formula>IF($B36="Quoting",TRUE,FALSE)</formula>
    </cfRule>
    <cfRule type="expression" dxfId="2427" priority="13916">
      <formula>IF($B36="Quoting",TRUE,FALSE)</formula>
    </cfRule>
    <cfRule type="expression" dxfId="2426" priority="13917">
      <formula>IF($B36="Quoting",TRUE,FALSE)</formula>
    </cfRule>
    <cfRule type="expression" dxfId="2425" priority="13918">
      <formula>IF($B36="Quoting",TRUE,FALSE)</formula>
    </cfRule>
    <cfRule type="expression" dxfId="2424" priority="13919">
      <formula>IF($B36="Quoting",TRUE,FALSE)</formula>
    </cfRule>
    <cfRule type="expression" dxfId="2423" priority="13920">
      <formula>IF($B36="Quoting",TRUE,FALSE)</formula>
    </cfRule>
    <cfRule type="expression" dxfId="2422" priority="13921">
      <formula>IF($B36="Quoting",TRUE,FALSE)</formula>
    </cfRule>
    <cfRule type="expression" dxfId="2421" priority="13922">
      <formula>IF($B36="Quoting",TRUE,FALSE)</formula>
    </cfRule>
    <cfRule type="expression" dxfId="2420" priority="13923">
      <formula>IF($B36="Quoting",TRUE,FALSE)</formula>
    </cfRule>
    <cfRule type="expression" dxfId="2419" priority="13924">
      <formula>IF($B36="Quoting",TRUE,FALSE)</formula>
    </cfRule>
    <cfRule type="expression" dxfId="2418" priority="13925">
      <formula>IF($B36="Quoting",TRUE,FALSE)</formula>
    </cfRule>
    <cfRule type="expression" dxfId="2417" priority="13926">
      <formula>IF($B36="Quoting",TRUE,FALSE)</formula>
    </cfRule>
    <cfRule type="expression" dxfId="2416" priority="13927">
      <formula>IF($B36="Quoting",TRUE,FALSE)</formula>
    </cfRule>
    <cfRule type="expression" dxfId="2415" priority="13928">
      <formula>IF($B36="Quoting",TRUE,FALSE)</formula>
    </cfRule>
    <cfRule type="expression" dxfId="2414" priority="13929">
      <formula>IF($B36="Quoting",TRUE,FALSE)</formula>
    </cfRule>
    <cfRule type="expression" dxfId="2413" priority="13930">
      <formula>IF($B36="Quoting",TRUE,FALSE)</formula>
    </cfRule>
    <cfRule type="expression" dxfId="2412" priority="13931">
      <formula>IF($B36="Quoting",TRUE,FALSE)</formula>
    </cfRule>
    <cfRule type="expression" dxfId="2411" priority="13932">
      <formula>IF($B36="Quoting",TRUE,FALSE)</formula>
    </cfRule>
    <cfRule type="expression" dxfId="2410" priority="13933">
      <formula>IF($B36="Quoting",TRUE,FALSE)</formula>
    </cfRule>
    <cfRule type="expression" dxfId="2409" priority="13934">
      <formula>IF($B36="Quoting",TRUE,FALSE)</formula>
    </cfRule>
    <cfRule type="expression" dxfId="2408" priority="13935">
      <formula>IF($B36="Quoting",TRUE,FALSE)</formula>
    </cfRule>
    <cfRule type="expression" dxfId="2407" priority="13936">
      <formula>IF($B36="Quoting",TRUE,FALSE)</formula>
    </cfRule>
    <cfRule type="expression" dxfId="2406" priority="13937">
      <formula>IF($B36="Quoting",TRUE,FALSE)</formula>
    </cfRule>
    <cfRule type="expression" dxfId="2405" priority="13938">
      <formula>IF($B36="Quoting",TRUE,FALSE)</formula>
    </cfRule>
    <cfRule type="expression" dxfId="2404" priority="13939">
      <formula>IF($B36="Quoting",TRUE,FALSE)</formula>
    </cfRule>
    <cfRule type="expression" dxfId="2403" priority="13940">
      <formula>IF($B36="Quoting",TRUE,FALSE)</formula>
    </cfRule>
    <cfRule type="expression" dxfId="2402" priority="13941">
      <formula>IF($B36="Quoting",TRUE,FALSE)</formula>
    </cfRule>
    <cfRule type="expression" dxfId="2401" priority="13942">
      <formula>IF($B36="Quoting",TRUE,FALSE)</formula>
    </cfRule>
    <cfRule type="expression" dxfId="2400" priority="13943">
      <formula>IF($B36="Quoting",TRUE,FALSE)</formula>
    </cfRule>
    <cfRule type="expression" dxfId="2399" priority="13944">
      <formula>IF($B36="Quoting",TRUE,FALSE)</formula>
    </cfRule>
    <cfRule type="expression" dxfId="2398" priority="13945">
      <formula>IF($B36="Quoting",TRUE,FALSE)</formula>
    </cfRule>
    <cfRule type="expression" dxfId="2397" priority="13946">
      <formula>IF($B36="Quoting",TRUE,FALSE)</formula>
    </cfRule>
    <cfRule type="expression" dxfId="2396" priority="13947">
      <formula>IF($B36="Quoting",TRUE,FALSE)</formula>
    </cfRule>
    <cfRule type="expression" dxfId="2395" priority="13948">
      <formula>IF($B36="Quoting",TRUE,FALSE)</formula>
    </cfRule>
    <cfRule type="expression" dxfId="2394" priority="13949">
      <formula>IF($B36="Quoting",TRUE,FALSE)</formula>
    </cfRule>
    <cfRule type="expression" dxfId="2393" priority="13950">
      <formula>IF($B36="Quoting",TRUE,FALSE)</formula>
    </cfRule>
    <cfRule type="expression" dxfId="2392" priority="13951">
      <formula>IF($B36="Quoting",TRUE,FALSE)</formula>
    </cfRule>
    <cfRule type="expression" dxfId="2391" priority="13952">
      <formula>IF($B36="Quoting",TRUE,FALSE)</formula>
    </cfRule>
    <cfRule type="expression" dxfId="2390" priority="13953">
      <formula>IF($B36="Quoting",TRUE,FALSE)</formula>
    </cfRule>
    <cfRule type="expression" dxfId="2389" priority="13954">
      <formula>IF($B36="Quoting",TRUE,FALSE)</formula>
    </cfRule>
    <cfRule type="expression" dxfId="2388" priority="13955">
      <formula>IF($B36="Quoting",TRUE,FALSE)</formula>
    </cfRule>
    <cfRule type="expression" dxfId="2387" priority="13956">
      <formula>IF($B36="Quoting",TRUE,FALSE)</formula>
    </cfRule>
    <cfRule type="expression" dxfId="2386" priority="13957">
      <formula>IF($B36="Quoting",TRUE,FALSE)</formula>
    </cfRule>
    <cfRule type="expression" dxfId="2385" priority="13958">
      <formula>IF($B36="Quoting",TRUE,FALSE)</formula>
    </cfRule>
    <cfRule type="expression" dxfId="2384" priority="13959">
      <formula>IF($B36="Quoting",TRUE,FALSE)</formula>
    </cfRule>
    <cfRule type="expression" dxfId="2383" priority="13960">
      <formula>IF($B36="Quoting",TRUE,FALSE)</formula>
    </cfRule>
    <cfRule type="expression" dxfId="2382" priority="13961">
      <formula>IF($B36="Quoting",TRUE,FALSE)</formula>
    </cfRule>
    <cfRule type="expression" dxfId="2381" priority="13962">
      <formula>IF($B36="Quoting",TRUE,FALSE)</formula>
    </cfRule>
    <cfRule type="expression" dxfId="2380" priority="13963">
      <formula>IF($B36="Quoting",TRUE,FALSE)</formula>
    </cfRule>
    <cfRule type="expression" dxfId="2379" priority="13964">
      <formula>IF($B36="Quoting",TRUE,FALSE)</formula>
    </cfRule>
    <cfRule type="expression" dxfId="2378" priority="13965">
      <formula>IF($B36="Quoting",TRUE,FALSE)</formula>
    </cfRule>
    <cfRule type="expression" dxfId="2377" priority="13966">
      <formula>IF($B36="Quoting",TRUE,FALSE)</formula>
    </cfRule>
    <cfRule type="expression" dxfId="2376" priority="13967">
      <formula>IF($B36="Quoting",TRUE,FALSE)</formula>
    </cfRule>
    <cfRule type="expression" dxfId="2375" priority="13968">
      <formula>IF($B36="Quoting",TRUE,FALSE)</formula>
    </cfRule>
    <cfRule type="expression" dxfId="2374" priority="13969">
      <formula>IF($B36="Quoting",TRUE,FALSE)</formula>
    </cfRule>
    <cfRule type="expression" dxfId="2373" priority="13970">
      <formula>IF($B36="Quoting",TRUE,FALSE)</formula>
    </cfRule>
    <cfRule type="expression" dxfId="2372" priority="13971">
      <formula>IF($B36="Quoting",TRUE,FALSE)</formula>
    </cfRule>
    <cfRule type="expression" dxfId="2371" priority="13972">
      <formula>IF($B36="Quoting",TRUE,FALSE)</formula>
    </cfRule>
    <cfRule type="expression" dxfId="2370" priority="13973">
      <formula>IF($B36="Quoting",TRUE,FALSE)</formula>
    </cfRule>
    <cfRule type="expression" dxfId="2369" priority="13974">
      <formula>IF($B36="Quoting",TRUE,FALSE)</formula>
    </cfRule>
    <cfRule type="expression" dxfId="2368" priority="13975">
      <formula>IF($B36="Quoting",TRUE,FALSE)</formula>
    </cfRule>
    <cfRule type="expression" dxfId="2367" priority="13976">
      <formula>IF($B36="Quoting",TRUE,FALSE)</formula>
    </cfRule>
    <cfRule type="expression" dxfId="2366" priority="13977">
      <formula>IF($B36="Quoting",TRUE,FALSE)</formula>
    </cfRule>
    <cfRule type="expression" dxfId="2365" priority="13978">
      <formula>IF($B36="Quoting",TRUE,FALSE)</formula>
    </cfRule>
    <cfRule type="expression" dxfId="2364" priority="13979">
      <formula>IF($B36="Quoting",TRUE,FALSE)</formula>
    </cfRule>
    <cfRule type="expression" dxfId="2363" priority="13980">
      <formula>IF($B36="Quoting",TRUE,FALSE)</formula>
    </cfRule>
    <cfRule type="expression" dxfId="2362" priority="13981">
      <formula>IF($B36="Quoting",TRUE,FALSE)</formula>
    </cfRule>
    <cfRule type="expression" dxfId="2361" priority="13982">
      <formula>IF($B36="Quoting",TRUE,FALSE)</formula>
    </cfRule>
    <cfRule type="expression" dxfId="2360" priority="13983">
      <formula>IF($B36="Quoting",TRUE,FALSE)</formula>
    </cfRule>
    <cfRule type="expression" dxfId="2359" priority="13984">
      <formula>IF($B36="Quoting",TRUE,FALSE)</formula>
    </cfRule>
    <cfRule type="expression" dxfId="2358" priority="13985">
      <formula>IF($B36="Quoting",TRUE,FALSE)</formula>
    </cfRule>
    <cfRule type="expression" dxfId="2357" priority="13986">
      <formula>IF($B36="Quoting",TRUE,FALSE)</formula>
    </cfRule>
    <cfRule type="expression" dxfId="2356" priority="13987">
      <formula>IF($B36="Quoting",TRUE,FALSE)</formula>
    </cfRule>
    <cfRule type="expression" dxfId="2355" priority="13988">
      <formula>IF($B36="Quoting",TRUE,FALSE)</formula>
    </cfRule>
    <cfRule type="expression" dxfId="2354" priority="13989">
      <formula>IF($B36="Quoting",TRUE,FALSE)</formula>
    </cfRule>
    <cfRule type="expression" dxfId="2353" priority="13990">
      <formula>IF($B36="Quoting",TRUE,FALSE)</formula>
    </cfRule>
    <cfRule type="expression" dxfId="2352" priority="13991">
      <formula>IF($B36="Quoting",TRUE,FALSE)</formula>
    </cfRule>
    <cfRule type="expression" dxfId="2351" priority="13992">
      <formula>IF($B36="Quoting",TRUE,FALSE)</formula>
    </cfRule>
    <cfRule type="expression" dxfId="2350" priority="13993">
      <formula>IF($B36="Quoting",TRUE,FALSE)</formula>
    </cfRule>
    <cfRule type="expression" dxfId="2349" priority="13994">
      <formula>IF($B36="Quoting",TRUE,FALSE)</formula>
    </cfRule>
    <cfRule type="expression" dxfId="2348" priority="13995">
      <formula>IF($B36="Quoting",TRUE,FALSE)</formula>
    </cfRule>
    <cfRule type="expression" dxfId="2347" priority="13996">
      <formula>IF($B36="Quoting",TRUE,FALSE)</formula>
    </cfRule>
    <cfRule type="expression" dxfId="2346" priority="13997">
      <formula>IF($B36="Quoting",TRUE,FALSE)</formula>
    </cfRule>
    <cfRule type="expression" dxfId="2345" priority="13998">
      <formula>IF($B36="Quoting",TRUE,FALSE)</formula>
    </cfRule>
    <cfRule type="expression" dxfId="2344" priority="13999">
      <formula>IF($B36="Quoting",TRUE,FALSE)</formula>
    </cfRule>
    <cfRule type="expression" dxfId="2343" priority="14000">
      <formula>IF($B36="Quoting",TRUE,FALSE)</formula>
    </cfRule>
    <cfRule type="expression" dxfId="2342" priority="14001">
      <formula>IF($B36="Quoting",TRUE,FALSE)</formula>
    </cfRule>
    <cfRule type="expression" dxfId="2341" priority="14002">
      <formula>IF($B36="Quoting",TRUE,FALSE)</formula>
    </cfRule>
    <cfRule type="expression" dxfId="2340" priority="14003">
      <formula>IF($B36="Quoting",TRUE,FALSE)</formula>
    </cfRule>
    <cfRule type="expression" dxfId="2339" priority="14004">
      <formula>IF($B36="Quoting",TRUE,FALSE)</formula>
    </cfRule>
    <cfRule type="expression" dxfId="2338" priority="14005">
      <formula>IF($B36="Quoting",TRUE,FALSE)</formula>
    </cfRule>
    <cfRule type="expression" dxfId="2337" priority="14006">
      <formula>IF($B36="Quoting",TRUE,FALSE)</formula>
    </cfRule>
    <cfRule type="expression" dxfId="2336" priority="14007">
      <formula>IF($B36="Quoting",TRUE,FALSE)</formula>
    </cfRule>
    <cfRule type="expression" dxfId="2335" priority="14008">
      <formula>IF($B36="Quoting",TRUE,FALSE)</formula>
    </cfRule>
    <cfRule type="expression" dxfId="2334" priority="14009">
      <formula>IF($B36="Quoting",TRUE,FALSE)</formula>
    </cfRule>
    <cfRule type="expression" dxfId="2333" priority="14010">
      <formula>IF($B36="Quoting",TRUE,FALSE)</formula>
    </cfRule>
    <cfRule type="expression" dxfId="2332" priority="14011">
      <formula>IF($B36="Quoting",TRUE,FALSE)</formula>
    </cfRule>
    <cfRule type="expression" dxfId="2331" priority="14012">
      <formula>IF($B36="Quoting",TRUE,FALSE)</formula>
    </cfRule>
    <cfRule type="expression" dxfId="2330" priority="14013">
      <formula>IF($B36="Quoting",TRUE,FALSE)</formula>
    </cfRule>
    <cfRule type="expression" dxfId="2329" priority="14014">
      <formula>IF($B36="Quoting",TRUE,FALSE)</formula>
    </cfRule>
    <cfRule type="expression" dxfId="2328" priority="14015">
      <formula>IF($B36="Quoting",TRUE,FALSE)</formula>
    </cfRule>
    <cfRule type="expression" dxfId="2327" priority="14016">
      <formula>IF($B36="Quoting",TRUE,FALSE)</formula>
    </cfRule>
    <cfRule type="expression" dxfId="2326" priority="14017">
      <formula>IF($B36="Quoting",TRUE,FALSE)</formula>
    </cfRule>
    <cfRule type="expression" dxfId="2325" priority="14018">
      <formula>IF($B36="Quoting",TRUE,FALSE)</formula>
    </cfRule>
    <cfRule type="expression" dxfId="2324" priority="14019">
      <formula>IF($B36="Quoting",TRUE,FALSE)</formula>
    </cfRule>
    <cfRule type="expression" dxfId="2323" priority="14020">
      <formula>IF($B36="Quoting",TRUE,FALSE)</formula>
    </cfRule>
    <cfRule type="expression" dxfId="2322" priority="14021">
      <formula>IF($B36="Quoting",TRUE,FALSE)</formula>
    </cfRule>
    <cfRule type="expression" dxfId="2321" priority="14022">
      <formula>IF($B36="Quoting",TRUE,FALSE)</formula>
    </cfRule>
    <cfRule type="expression" dxfId="2320" priority="14023">
      <formula>IF($B36="Quoting",TRUE,FALSE)</formula>
    </cfRule>
    <cfRule type="expression" dxfId="2319" priority="14024">
      <formula>IF($B36="Quoting",TRUE,FALSE)</formula>
    </cfRule>
    <cfRule type="expression" dxfId="2318" priority="14025">
      <formula>IF($B36="Quoting",TRUE,FALSE)</formula>
    </cfRule>
    <cfRule type="expression" dxfId="2317" priority="14026">
      <formula>IF($B36="Quoting",TRUE,FALSE)</formula>
    </cfRule>
    <cfRule type="expression" dxfId="2316" priority="14027">
      <formula>IF($B36="Quoting",TRUE,FALSE)</formula>
    </cfRule>
    <cfRule type="expression" dxfId="2315" priority="14028">
      <formula>IF($B36="Quoting",TRUE,FALSE)</formula>
    </cfRule>
    <cfRule type="expression" dxfId="2314" priority="14029">
      <formula>IF($B36="Quoting",TRUE,FALSE)</formula>
    </cfRule>
    <cfRule type="expression" dxfId="2313" priority="14030">
      <formula>IF($B36="Quoting",TRUE,FALSE)</formula>
    </cfRule>
    <cfRule type="expression" dxfId="2312" priority="14031">
      <formula>IF($B36="Quoting",TRUE,FALSE)</formula>
    </cfRule>
    <cfRule type="expression" dxfId="2311" priority="14032">
      <formula>IF($B36="Quoting",TRUE,FALSE)</formula>
    </cfRule>
    <cfRule type="expression" dxfId="2310" priority="14033">
      <formula>IF($B36="Quoting",TRUE,FALSE)</formula>
    </cfRule>
    <cfRule type="expression" dxfId="2309" priority="14034">
      <formula>IF($B36="Quoting",TRUE,FALSE)</formula>
    </cfRule>
    <cfRule type="expression" dxfId="2308" priority="14035">
      <formula>IF($B36="Quoting",TRUE,FALSE)</formula>
    </cfRule>
    <cfRule type="expression" dxfId="2307" priority="14036">
      <formula>IF($B36="Quoting",TRUE,FALSE)</formula>
    </cfRule>
    <cfRule type="expression" dxfId="2306" priority="14037">
      <formula>IF($B36="Quoting",TRUE,FALSE)</formula>
    </cfRule>
    <cfRule type="expression" dxfId="2305" priority="14038">
      <formula>IF($B36="Quoting",TRUE,FALSE)</formula>
    </cfRule>
    <cfRule type="expression" dxfId="2304" priority="14039">
      <formula>IF($B36="Quoting",TRUE,FALSE)</formula>
    </cfRule>
    <cfRule type="expression" dxfId="2303" priority="14040">
      <formula>IF($B36="Quoting",TRUE,FALSE)</formula>
    </cfRule>
    <cfRule type="expression" dxfId="2302" priority="14041">
      <formula>IF($B36="Quoting",TRUE,FALSE)</formula>
    </cfRule>
    <cfRule type="expression" dxfId="2301" priority="14042">
      <formula>IF($B36="Quoting",TRUE,FALSE)</formula>
    </cfRule>
    <cfRule type="expression" dxfId="2300" priority="14043">
      <formula>IF($B36="Quoting",TRUE,FALSE)</formula>
    </cfRule>
    <cfRule type="expression" dxfId="2299" priority="14044">
      <formula>IF($B36="Quoting",TRUE,FALSE)</formula>
    </cfRule>
    <cfRule type="expression" dxfId="2298" priority="14045">
      <formula>IF($B36="Quoting",TRUE,FALSE)</formula>
    </cfRule>
    <cfRule type="expression" dxfId="2297" priority="14046">
      <formula>IF($B36="Quoting",TRUE,FALSE)</formula>
    </cfRule>
    <cfRule type="expression" dxfId="2296" priority="14047">
      <formula>IF($B36="Quoting",TRUE,FALSE)</formula>
    </cfRule>
    <cfRule type="expression" dxfId="2295" priority="14048">
      <formula>IF($B36="Quoting",TRUE,FALSE)</formula>
    </cfRule>
    <cfRule type="expression" dxfId="2294" priority="14049">
      <formula>IF($B36="Quoting",TRUE,FALSE)</formula>
    </cfRule>
    <cfRule type="expression" dxfId="2293" priority="14050">
      <formula>IF($B36="Quoting",TRUE,FALSE)</formula>
    </cfRule>
    <cfRule type="expression" dxfId="2292" priority="14051">
      <formula>IF($B36="Quoting",TRUE,FALSE)</formula>
    </cfRule>
    <cfRule type="expression" dxfId="2291" priority="14052">
      <formula>IF($B36="Quoting",TRUE,FALSE)</formula>
    </cfRule>
    <cfRule type="expression" dxfId="2290" priority="14053">
      <formula>IF($B36="Quoting",TRUE,FALSE)</formula>
    </cfRule>
    <cfRule type="expression" dxfId="2289" priority="14054">
      <formula>IF($B36="Quoting",TRUE,FALSE)</formula>
    </cfRule>
    <cfRule type="expression" dxfId="2288" priority="14055">
      <formula>IF($B36="Quoting",TRUE,FALSE)</formula>
    </cfRule>
    <cfRule type="expression" dxfId="2287" priority="14056">
      <formula>IF($B36="Quoting",TRUE,FALSE)</formula>
    </cfRule>
    <cfRule type="expression" dxfId="2286" priority="14057">
      <formula>IF($B36="Quoting",TRUE,FALSE)</formula>
    </cfRule>
    <cfRule type="expression" dxfId="2285" priority="14058">
      <formula>IF($B36="Quoting",TRUE,FALSE)</formula>
    </cfRule>
    <cfRule type="expression" dxfId="2284" priority="14059">
      <formula>IF($B36="Quoting",TRUE,FALSE)</formula>
    </cfRule>
    <cfRule type="expression" dxfId="2283" priority="14060">
      <formula>IF($B36="Quoting",TRUE,FALSE)</formula>
    </cfRule>
    <cfRule type="expression" dxfId="2282" priority="14061">
      <formula>IF($B36="Quoting",TRUE,FALSE)</formula>
    </cfRule>
    <cfRule type="expression" dxfId="2281" priority="14062">
      <formula>IF($B36="Quoting",TRUE,FALSE)</formula>
    </cfRule>
    <cfRule type="expression" dxfId="2280" priority="14063">
      <formula>IF($B36="Quoting",TRUE,FALSE)</formula>
    </cfRule>
    <cfRule type="expression" dxfId="2279" priority="14064">
      <formula>IF($B36="Quoting",TRUE,FALSE)</formula>
    </cfRule>
    <cfRule type="expression" dxfId="2278" priority="14065">
      <formula>IF($B36="Quoting",TRUE,FALSE)</formula>
    </cfRule>
    <cfRule type="expression" dxfId="2277" priority="14066">
      <formula>IF($B36="Quoting",TRUE,FALSE)</formula>
    </cfRule>
    <cfRule type="expression" dxfId="2276" priority="14067">
      <formula>IF($B36="Quoting",TRUE,FALSE)</formula>
    </cfRule>
    <cfRule type="expression" dxfId="2275" priority="14068">
      <formula>IF($B36="Quoting",TRUE,FALSE)</formula>
    </cfRule>
    <cfRule type="expression" dxfId="2274" priority="14069">
      <formula>IF($B36="Quoting",TRUE,FALSE)</formula>
    </cfRule>
    <cfRule type="expression" dxfId="2273" priority="14070">
      <formula>IF($B36="Quoting",TRUE,FALSE)</formula>
    </cfRule>
    <cfRule type="expression" dxfId="2272" priority="14071">
      <formula>IF($B36="Quoting",TRUE,FALSE)</formula>
    </cfRule>
    <cfRule type="expression" dxfId="2271" priority="14072">
      <formula>IF($B36="Quoting",TRUE,FALSE)</formula>
    </cfRule>
    <cfRule type="expression" dxfId="2270" priority="14073">
      <formula>IF($B36="Quoting",TRUE,FALSE)</formula>
    </cfRule>
    <cfRule type="expression" dxfId="2269" priority="14074">
      <formula>IF($B36="Quoting",TRUE,FALSE)</formula>
    </cfRule>
    <cfRule type="expression" dxfId="2268" priority="14075">
      <formula>IF($B36="Quoting",TRUE,FALSE)</formula>
    </cfRule>
    <cfRule type="expression" dxfId="2267" priority="14076">
      <formula>IF($B36="Quoting",TRUE,FALSE)</formula>
    </cfRule>
    <cfRule type="expression" dxfId="2266" priority="14077">
      <formula>IF($B36="Quoting",TRUE,FALSE)</formula>
    </cfRule>
    <cfRule type="expression" dxfId="2265" priority="14078">
      <formula>IF($B36="Quoting",TRUE,FALSE)</formula>
    </cfRule>
    <cfRule type="expression" dxfId="2264" priority="14079">
      <formula>IF($B36="Quoting",TRUE,FALSE)</formula>
    </cfRule>
    <cfRule type="expression" dxfId="2263" priority="14080">
      <formula>IF($B36="Quoting",TRUE,FALSE)</formula>
    </cfRule>
    <cfRule type="expression" dxfId="2262" priority="14081">
      <formula>IF($B36="Quoting",TRUE,FALSE)</formula>
    </cfRule>
    <cfRule type="expression" dxfId="2261" priority="14082">
      <formula>IF($B36="Quoting",TRUE,FALSE)</formula>
    </cfRule>
    <cfRule type="expression" dxfId="2260" priority="14083">
      <formula>IF($B36="Quoting",TRUE,FALSE)</formula>
    </cfRule>
    <cfRule type="expression" dxfId="2259" priority="14084">
      <formula>IF($B36="Quoting",TRUE,FALSE)</formula>
    </cfRule>
    <cfRule type="expression" dxfId="2258" priority="14085">
      <formula>IF($B36="Quoting",TRUE,FALSE)</formula>
    </cfRule>
    <cfRule type="expression" dxfId="2257" priority="14086">
      <formula>IF($B36="Quoting",TRUE,FALSE)</formula>
    </cfRule>
    <cfRule type="expression" dxfId="2256" priority="14087">
      <formula>IF($B36="Quoting",TRUE,FALSE)</formula>
    </cfRule>
    <cfRule type="expression" dxfId="2255" priority="14088">
      <formula>IF($B36="Quoting",TRUE,FALSE)</formula>
    </cfRule>
    <cfRule type="expression" dxfId="2254" priority="14089">
      <formula>IF($B36="Quoting",TRUE,FALSE)</formula>
    </cfRule>
    <cfRule type="expression" dxfId="2253" priority="14090">
      <formula>IF($B36="Quoting",TRUE,FALSE)</formula>
    </cfRule>
    <cfRule type="expression" dxfId="2252" priority="14091">
      <formula>IF($B36="Quoting",TRUE,FALSE)</formula>
    </cfRule>
    <cfRule type="expression" dxfId="2251" priority="14092">
      <formula>IF($B36="Quoting",TRUE,FALSE)</formula>
    </cfRule>
    <cfRule type="expression" dxfId="2250" priority="14093">
      <formula>IF($B36="Quoting",TRUE,FALSE)</formula>
    </cfRule>
    <cfRule type="expression" dxfId="2249" priority="14094">
      <formula>IF($B36="Quoting",TRUE,FALSE)</formula>
    </cfRule>
    <cfRule type="expression" dxfId="2248" priority="14095">
      <formula>IF($B36="Quoting",TRUE,FALSE)</formula>
    </cfRule>
    <cfRule type="expression" dxfId="2247" priority="14096">
      <formula>IF($B36="Quoting",TRUE,FALSE)</formula>
    </cfRule>
    <cfRule type="expression" dxfId="2246" priority="14097">
      <formula>IF($B36="Quoting",TRUE,FALSE)</formula>
    </cfRule>
    <cfRule type="expression" dxfId="2245" priority="14098">
      <formula>IF($B36="Quoting",TRUE,FALSE)</formula>
    </cfRule>
    <cfRule type="expression" dxfId="2244" priority="14099">
      <formula>IF($B36="Quoting",TRUE,FALSE)</formula>
    </cfRule>
    <cfRule type="expression" dxfId="2243" priority="14100">
      <formula>IF($B36="Quoting",TRUE,FALSE)</formula>
    </cfRule>
    <cfRule type="expression" dxfId="2242" priority="14101">
      <formula>IF($B36="Quoting",TRUE,FALSE)</formula>
    </cfRule>
    <cfRule type="expression" dxfId="2241" priority="14102">
      <formula>IF($B36="Quoting",TRUE,FALSE)</formula>
    </cfRule>
    <cfRule type="expression" dxfId="2240" priority="14103">
      <formula>IF($B36="Quoting",TRUE,FALSE)</formula>
    </cfRule>
    <cfRule type="expression" dxfId="2239" priority="14104">
      <formula>IF($B36="Quoting",TRUE,FALSE)</formula>
    </cfRule>
    <cfRule type="expression" dxfId="2238" priority="14105">
      <formula>IF($B36="Quoting",TRUE,FALSE)</formula>
    </cfRule>
    <cfRule type="expression" dxfId="2237" priority="14106">
      <formula>IF($B36="Quoting",TRUE,FALSE)</formula>
    </cfRule>
    <cfRule type="expression" dxfId="2236" priority="14107">
      <formula>IF($B36="Quoting",TRUE,FALSE)</formula>
    </cfRule>
    <cfRule type="expression" dxfId="2235" priority="14108">
      <formula>IF($B36="Quoting",TRUE,FALSE)</formula>
    </cfRule>
    <cfRule type="expression" dxfId="2234" priority="14109">
      <formula>IF($B36="Quoting",TRUE,FALSE)</formula>
    </cfRule>
    <cfRule type="expression" dxfId="2233" priority="14110">
      <formula>IF($B36="Quoting",TRUE,FALSE)</formula>
    </cfRule>
    <cfRule type="expression" dxfId="2232" priority="14111">
      <formula>IF($B36="Quoting",TRUE,FALSE)</formula>
    </cfRule>
    <cfRule type="expression" dxfId="2231" priority="14112">
      <formula>IF($B36="Quoting",TRUE,FALSE)</formula>
    </cfRule>
    <cfRule type="expression" dxfId="2230" priority="14113">
      <formula>IF($B36="Quoting",TRUE,FALSE)</formula>
    </cfRule>
    <cfRule type="expression" dxfId="2229" priority="14114">
      <formula>IF($B36="Quoting",TRUE,FALSE)</formula>
    </cfRule>
    <cfRule type="expression" dxfId="2228" priority="14115">
      <formula>IF($B36="Quoting",TRUE,FALSE)</formula>
    </cfRule>
    <cfRule type="expression" dxfId="2227" priority="14116">
      <formula>IF($B36="Quoting",TRUE,FALSE)</formula>
    </cfRule>
    <cfRule type="expression" dxfId="2226" priority="14117">
      <formula>IF($B36="Quoting",TRUE,FALSE)</formula>
    </cfRule>
    <cfRule type="expression" dxfId="2225" priority="14118">
      <formula>IF($B36="Quoting",TRUE,FALSE)</formula>
    </cfRule>
    <cfRule type="expression" dxfId="2224" priority="14119">
      <formula>IF($B36="Quoting",TRUE,FALSE)</formula>
    </cfRule>
    <cfRule type="expression" dxfId="2223" priority="14120">
      <formula>IF($B36="Quoting",TRUE,FALSE)</formula>
    </cfRule>
    <cfRule type="expression" dxfId="2222" priority="14121">
      <formula>IF($B36="Quoting",TRUE,FALSE)</formula>
    </cfRule>
    <cfRule type="expression" dxfId="2221" priority="14122">
      <formula>IF($B36="Quoting",TRUE,FALSE)</formula>
    </cfRule>
    <cfRule type="expression" dxfId="2220" priority="14123">
      <formula>IF($B36="Quoting",TRUE,FALSE)</formula>
    </cfRule>
    <cfRule type="expression" dxfId="2219" priority="14124">
      <formula>IF($B36="Quoting",TRUE,FALSE)</formula>
    </cfRule>
    <cfRule type="expression" dxfId="2218" priority="14125">
      <formula>IF($B36="Quoting",TRUE,FALSE)</formula>
    </cfRule>
    <cfRule type="expression" dxfId="2217" priority="14126">
      <formula>IF($B36="Quoting",TRUE,FALSE)</formula>
    </cfRule>
    <cfRule type="expression" dxfId="2216" priority="14127">
      <formula>IF($B36="Quoting",TRUE,FALSE)</formula>
    </cfRule>
    <cfRule type="expression" dxfId="2215" priority="14128">
      <formula>IF($B36="Quoting",TRUE,FALSE)</formula>
    </cfRule>
    <cfRule type="expression" dxfId="2214" priority="14129">
      <formula>IF($B36="Quoting",TRUE,FALSE)</formula>
    </cfRule>
    <cfRule type="expression" dxfId="2213" priority="14130">
      <formula>IF($B36="Quoting",TRUE,FALSE)</formula>
    </cfRule>
    <cfRule type="expression" dxfId="2212" priority="14131">
      <formula>IF($B36="Quoting",TRUE,FALSE)</formula>
    </cfRule>
  </conditionalFormatting>
  <conditionalFormatting sqref="H37">
    <cfRule type="expression" dxfId="2211" priority="24">
      <formula>IF($B37="VOID",TRUE,FALSE)</formula>
    </cfRule>
    <cfRule type="expression" dxfId="2210" priority="25">
      <formula>IF($B37="Custom Quote",TRUE,FALSE)</formula>
    </cfRule>
    <cfRule type="expression" dxfId="2209" priority="26">
      <formula>IF($B37="Quoting",TRUE,FALSE)</formula>
    </cfRule>
    <cfRule type="expression" dxfId="2208" priority="27">
      <formula>IF($B37="Quoting",TRUE,FALSE)</formula>
    </cfRule>
    <cfRule type="expression" dxfId="2207" priority="28">
      <formula>IF($B37="Quoting",TRUE,FALSE)</formula>
    </cfRule>
    <cfRule type="expression" dxfId="2206" priority="29">
      <formula>IF($B37="Quoting",TRUE,FALSE)</formula>
    </cfRule>
    <cfRule type="expression" dxfId="2205" priority="30">
      <formula>IF($B37="Quoting",TRUE,FALSE)</formula>
    </cfRule>
    <cfRule type="expression" dxfId="2204" priority="31">
      <formula>IF($B37="Quoting",TRUE,FALSE)</formula>
    </cfRule>
    <cfRule type="expression" dxfId="2203" priority="32">
      <formula>IF($B37="Quoting",TRUE,FALSE)</formula>
    </cfRule>
    <cfRule type="expression" dxfId="2202" priority="33">
      <formula>IF($B37="Quoting",TRUE,FALSE)</formula>
    </cfRule>
    <cfRule type="expression" dxfId="2201" priority="34">
      <formula>IF($B37="Quoting",TRUE,FALSE)</formula>
    </cfRule>
    <cfRule type="expression" dxfId="2200" priority="35">
      <formula>IF($B37="Quoting",TRUE,FALSE)</formula>
    </cfRule>
    <cfRule type="expression" dxfId="2199" priority="36">
      <formula>IF($B37="Quoting",TRUE,FALSE)</formula>
    </cfRule>
    <cfRule type="expression" dxfId="2198" priority="37">
      <formula>IF($B37="Quoting",TRUE,FALSE)</formula>
    </cfRule>
    <cfRule type="expression" dxfId="2197" priority="38">
      <formula>IF($B37="Quoting",TRUE,FALSE)</formula>
    </cfRule>
    <cfRule type="expression" dxfId="2196" priority="39">
      <formula>IF($B37="Quoting",TRUE,FALSE)</formula>
    </cfRule>
    <cfRule type="expression" dxfId="2195" priority="40">
      <formula>IF($B37="Quoting",TRUE,FALSE)</formula>
    </cfRule>
    <cfRule type="expression" dxfId="2194" priority="41">
      <formula>IF($B37="Quoting",TRUE,FALSE)</formula>
    </cfRule>
    <cfRule type="expression" dxfId="2193" priority="42">
      <formula>IF($B37="Quoting",TRUE,FALSE)</formula>
    </cfRule>
    <cfRule type="expression" dxfId="2192" priority="43">
      <formula>IF($B37="Quoting",TRUE,FALSE)</formula>
    </cfRule>
    <cfRule type="expression" dxfId="2191" priority="44">
      <formula>IF($B37="Quoting",TRUE,FALSE)</formula>
    </cfRule>
    <cfRule type="expression" dxfId="2190" priority="45">
      <formula>IF($B37="Quoting",TRUE,FALSE)</formula>
    </cfRule>
    <cfRule type="expression" dxfId="2189" priority="46">
      <formula>IF($B37="Quoting",TRUE,FALSE)</formula>
    </cfRule>
    <cfRule type="expression" dxfId="2188" priority="47">
      <formula>IF($B37="Quoting",TRUE,FALSE)</formula>
    </cfRule>
    <cfRule type="expression" dxfId="2187" priority="48">
      <formula>IF($B37="Quoting",TRUE,FALSE)</formula>
    </cfRule>
    <cfRule type="expression" dxfId="2186" priority="49">
      <formula>IF($B37="Quoting",TRUE,FALSE)</formula>
    </cfRule>
    <cfRule type="expression" dxfId="2185" priority="50">
      <formula>IF($B37="Quoting",TRUE,FALSE)</formula>
    </cfRule>
    <cfRule type="expression" dxfId="2184" priority="51">
      <formula>IF($B37="Quoting",TRUE,FALSE)</formula>
    </cfRule>
    <cfRule type="expression" dxfId="2183" priority="52">
      <formula>IF($B37="Quoting",TRUE,FALSE)</formula>
    </cfRule>
    <cfRule type="expression" dxfId="2182" priority="53">
      <formula>IF($B37="Quoting",TRUE,FALSE)</formula>
    </cfRule>
    <cfRule type="expression" dxfId="2181" priority="54">
      <formula>IF($B37="Quoting",TRUE,FALSE)</formula>
    </cfRule>
    <cfRule type="expression" dxfId="2180" priority="55">
      <formula>IF($B37="Quoting",TRUE,FALSE)</formula>
    </cfRule>
    <cfRule type="expression" dxfId="2179" priority="56">
      <formula>IF($B37="Quoting",TRUE,FALSE)</formula>
    </cfRule>
    <cfRule type="expression" dxfId="2178" priority="57">
      <formula>IF($B37="Quoting",TRUE,FALSE)</formula>
    </cfRule>
    <cfRule type="expression" dxfId="2177" priority="58">
      <formula>IF($B37="Quoting",TRUE,FALSE)</formula>
    </cfRule>
    <cfRule type="expression" dxfId="2176" priority="59">
      <formula>IF($B37="Quoting",TRUE,FALSE)</formula>
    </cfRule>
    <cfRule type="expression" dxfId="2175" priority="60">
      <formula>IF($B37="Quoting",TRUE,FALSE)</formula>
    </cfRule>
    <cfRule type="expression" dxfId="2174" priority="61">
      <formula>IF($B37="Quoting",TRUE,FALSE)</formula>
    </cfRule>
    <cfRule type="expression" dxfId="2173" priority="62">
      <formula>IF($B37="Quoting",TRUE,FALSE)</formula>
    </cfRule>
    <cfRule type="expression" dxfId="2172" priority="63">
      <formula>IF($B37="Quoting",TRUE,FALSE)</formula>
    </cfRule>
    <cfRule type="expression" dxfId="2171" priority="64">
      <formula>IF($B37="Quoting",TRUE,FALSE)</formula>
    </cfRule>
    <cfRule type="expression" dxfId="2170" priority="65">
      <formula>IF($B37="Quoting",TRUE,FALSE)</formula>
    </cfRule>
    <cfRule type="expression" dxfId="2169" priority="66">
      <formula>IF($B37="Quoting",TRUE,FALSE)</formula>
    </cfRule>
    <cfRule type="expression" dxfId="2168" priority="67">
      <formula>IF($B37="Quoting",TRUE,FALSE)</formula>
    </cfRule>
    <cfRule type="expression" dxfId="2167" priority="68">
      <formula>IF($B37="Quoting",TRUE,FALSE)</formula>
    </cfRule>
    <cfRule type="expression" dxfId="2166" priority="69">
      <formula>IF($B37="Quoting",TRUE,FALSE)</formula>
    </cfRule>
    <cfRule type="expression" dxfId="2165" priority="70">
      <formula>IF($B37="Quoting",TRUE,FALSE)</formula>
    </cfRule>
    <cfRule type="expression" dxfId="2164" priority="71">
      <formula>IF($B37="Quoting",TRUE,FALSE)</formula>
    </cfRule>
    <cfRule type="expression" dxfId="2163" priority="72">
      <formula>IF($B37="Quoting",TRUE,FALSE)</formula>
    </cfRule>
    <cfRule type="expression" dxfId="2162" priority="73">
      <formula>IF($B37="Quoting",TRUE,FALSE)</formula>
    </cfRule>
    <cfRule type="expression" dxfId="2161" priority="74">
      <formula>IF($B37="Quoting",TRUE,FALSE)</formula>
    </cfRule>
    <cfRule type="expression" dxfId="2160" priority="75">
      <formula>IF($B37="Quoting",TRUE,FALSE)</formula>
    </cfRule>
    <cfRule type="expression" dxfId="2159" priority="76">
      <formula>IF($B37="Quoting",TRUE,FALSE)</formula>
    </cfRule>
    <cfRule type="expression" dxfId="2158" priority="77">
      <formula>IF($B37="Quoting",TRUE,FALSE)</formula>
    </cfRule>
    <cfRule type="expression" dxfId="2157" priority="78">
      <formula>IF($B37="Quoting",TRUE,FALSE)</formula>
    </cfRule>
    <cfRule type="expression" dxfId="2156" priority="79">
      <formula>IF($B37="Quoting",TRUE,FALSE)</formula>
    </cfRule>
    <cfRule type="expression" dxfId="2155" priority="80">
      <formula>IF($B37="Quoting",TRUE,FALSE)</formula>
    </cfRule>
    <cfRule type="expression" dxfId="2154" priority="81">
      <formula>IF($B37="Quoting",TRUE,FALSE)</formula>
    </cfRule>
    <cfRule type="expression" dxfId="2153" priority="82">
      <formula>IF($B37="Quoting",TRUE,FALSE)</formula>
    </cfRule>
    <cfRule type="expression" dxfId="2152" priority="83">
      <formula>IF($B37="Quoting",TRUE,FALSE)</formula>
    </cfRule>
    <cfRule type="expression" dxfId="2151" priority="84">
      <formula>IF($B37="Quoting",TRUE,FALSE)</formula>
    </cfRule>
    <cfRule type="expression" dxfId="2150" priority="85">
      <formula>IF($B37="Quoting",TRUE,FALSE)</formula>
    </cfRule>
    <cfRule type="expression" dxfId="2149" priority="86">
      <formula>IF($B37="Quoting",TRUE,FALSE)</formula>
    </cfRule>
    <cfRule type="expression" dxfId="2148" priority="87">
      <formula>IF($B37="Quoting",TRUE,FALSE)</formula>
    </cfRule>
    <cfRule type="expression" dxfId="2147" priority="88">
      <formula>IF($B37="Quoting",TRUE,FALSE)</formula>
    </cfRule>
    <cfRule type="expression" dxfId="2146" priority="89">
      <formula>IF($B37="Quoting",TRUE,FALSE)</formula>
    </cfRule>
    <cfRule type="expression" dxfId="2145" priority="90">
      <formula>IF($B37="Quoting",TRUE,FALSE)</formula>
    </cfRule>
    <cfRule type="expression" dxfId="2144" priority="91">
      <formula>IF($B37="Quoting",TRUE,FALSE)</formula>
    </cfRule>
    <cfRule type="expression" dxfId="2143" priority="92">
      <formula>IF($B37="Quoting",TRUE,FALSE)</formula>
    </cfRule>
    <cfRule type="expression" dxfId="2142" priority="93">
      <formula>IF($B37="Quoting",TRUE,FALSE)</formula>
    </cfRule>
    <cfRule type="expression" dxfId="2141" priority="94">
      <formula>IF($B37="Quoting",TRUE,FALSE)</formula>
    </cfRule>
    <cfRule type="expression" dxfId="2140" priority="95">
      <formula>IF($B37="Quoting",TRUE,FALSE)</formula>
    </cfRule>
    <cfRule type="expression" dxfId="2139" priority="96">
      <formula>IF($B37="Quoting",TRUE,FALSE)</formula>
    </cfRule>
    <cfRule type="expression" dxfId="2138" priority="97">
      <formula>IF($B37="Quoting",TRUE,FALSE)</formula>
    </cfRule>
    <cfRule type="expression" dxfId="2137" priority="98">
      <formula>IF($B37="Quoting",TRUE,FALSE)</formula>
    </cfRule>
    <cfRule type="expression" dxfId="2136" priority="99">
      <formula>IF($B37="Quoting",TRUE,FALSE)</formula>
    </cfRule>
    <cfRule type="expression" dxfId="2135" priority="100">
      <formula>IF($B37="Quoting",TRUE,FALSE)</formula>
    </cfRule>
    <cfRule type="expression" dxfId="2134" priority="101">
      <formula>IF($B37="Quoting",TRUE,FALSE)</formula>
    </cfRule>
    <cfRule type="expression" dxfId="2133" priority="102">
      <formula>IF($B37="Quoting",TRUE,FALSE)</formula>
    </cfRule>
    <cfRule type="expression" dxfId="2132" priority="103">
      <formula>IF($B37="Quoting",TRUE,FALSE)</formula>
    </cfRule>
    <cfRule type="expression" dxfId="2131" priority="104">
      <formula>IF($B37="Quoting",TRUE,FALSE)</formula>
    </cfRule>
    <cfRule type="expression" dxfId="2130" priority="105">
      <formula>IF($B37="Quoting",TRUE,FALSE)</formula>
    </cfRule>
    <cfRule type="expression" dxfId="2129" priority="106">
      <formula>IF($B37="Quoting",TRUE,FALSE)</formula>
    </cfRule>
    <cfRule type="expression" dxfId="2128" priority="107">
      <formula>IF($B37="Quoting",TRUE,FALSE)</formula>
    </cfRule>
    <cfRule type="expression" dxfId="2127" priority="108">
      <formula>IF($B37="Quoting",TRUE,FALSE)</formula>
    </cfRule>
    <cfRule type="expression" dxfId="2126" priority="109">
      <formula>IF($B37="Quoting",TRUE,FALSE)</formula>
    </cfRule>
    <cfRule type="expression" dxfId="2125" priority="110">
      <formula>IF($B37="Quoting",TRUE,FALSE)</formula>
    </cfRule>
    <cfRule type="expression" dxfId="2124" priority="111">
      <formula>IF($B37="Quoting",TRUE,FALSE)</formula>
    </cfRule>
    <cfRule type="expression" dxfId="2123" priority="112">
      <formula>IF($B37="Quoting",TRUE,FALSE)</formula>
    </cfRule>
    <cfRule type="expression" dxfId="2122" priority="113">
      <formula>IF($B37="Quoting",TRUE,FALSE)</formula>
    </cfRule>
    <cfRule type="expression" dxfId="2121" priority="114">
      <formula>IF($B37="Quoting",TRUE,FALSE)</formula>
    </cfRule>
    <cfRule type="expression" dxfId="2120" priority="115">
      <formula>IF($B37="Quoting",TRUE,FALSE)</formula>
    </cfRule>
    <cfRule type="expression" dxfId="2119" priority="116">
      <formula>IF($B37="Quoting",TRUE,FALSE)</formula>
    </cfRule>
    <cfRule type="expression" dxfId="2118" priority="117">
      <formula>IF($B37="Quoting",TRUE,FALSE)</formula>
    </cfRule>
    <cfRule type="expression" dxfId="2117" priority="118">
      <formula>IF($B37="Quoting",TRUE,FALSE)</formula>
    </cfRule>
    <cfRule type="expression" dxfId="2116" priority="119">
      <formula>IF($B37="Quoting",TRUE,FALSE)</formula>
    </cfRule>
    <cfRule type="expression" dxfId="2115" priority="120">
      <formula>IF($B37="Quoting",TRUE,FALSE)</formula>
    </cfRule>
    <cfRule type="expression" dxfId="2114" priority="121">
      <formula>IF($B37="Quoting",TRUE,FALSE)</formula>
    </cfRule>
    <cfRule type="expression" dxfId="2113" priority="122">
      <formula>IF($B37="Quoting",TRUE,FALSE)</formula>
    </cfRule>
    <cfRule type="expression" dxfId="2112" priority="123">
      <formula>IF($B37="Quoting",TRUE,FALSE)</formula>
    </cfRule>
    <cfRule type="expression" dxfId="2111" priority="124">
      <formula>IF($B37="Quoting",TRUE,FALSE)</formula>
    </cfRule>
    <cfRule type="expression" dxfId="2110" priority="125">
      <formula>IF($B37="Quoting",TRUE,FALSE)</formula>
    </cfRule>
    <cfRule type="expression" dxfId="2109" priority="126">
      <formula>IF($B37="Quoting",TRUE,FALSE)</formula>
    </cfRule>
    <cfRule type="expression" dxfId="2108" priority="127">
      <formula>IF($B37="Quoting",TRUE,FALSE)</formula>
    </cfRule>
    <cfRule type="expression" dxfId="2107" priority="128">
      <formula>IF($B37="Quoting",TRUE,FALSE)</formula>
    </cfRule>
    <cfRule type="expression" dxfId="2106" priority="129">
      <formula>IF($B37="Quoting",TRUE,FALSE)</formula>
    </cfRule>
    <cfRule type="expression" dxfId="2105" priority="130">
      <formula>IF($B37="Quoting",TRUE,FALSE)</formula>
    </cfRule>
    <cfRule type="expression" dxfId="2104" priority="131">
      <formula>IF($B37="Quoting",TRUE,FALSE)</formula>
    </cfRule>
    <cfRule type="expression" dxfId="2103" priority="132">
      <formula>IF($B37="Quoting",TRUE,FALSE)</formula>
    </cfRule>
    <cfRule type="expression" dxfId="2102" priority="133">
      <formula>IF($B37="Quoting",TRUE,FALSE)</formula>
    </cfRule>
    <cfRule type="expression" dxfId="2101" priority="134">
      <formula>IF($B37="Quoting",TRUE,FALSE)</formula>
    </cfRule>
    <cfRule type="expression" dxfId="2100" priority="135">
      <formula>IF($B37="Quoting",TRUE,FALSE)</formula>
    </cfRule>
    <cfRule type="expression" dxfId="2099" priority="136">
      <formula>IF($B37="Quoting",TRUE,FALSE)</formula>
    </cfRule>
    <cfRule type="expression" dxfId="2098" priority="137">
      <formula>IF($B37="Quoting",TRUE,FALSE)</formula>
    </cfRule>
    <cfRule type="expression" dxfId="2097" priority="138">
      <formula>IF($B37="Quoting",TRUE,FALSE)</formula>
    </cfRule>
    <cfRule type="expression" dxfId="2096" priority="139">
      <formula>IF($B37="Quoting",TRUE,FALSE)</formula>
    </cfRule>
    <cfRule type="expression" dxfId="2095" priority="140">
      <formula>IF($B37="Quoting",TRUE,FALSE)</formula>
    </cfRule>
    <cfRule type="expression" dxfId="2094" priority="141">
      <formula>IF($B37="Quoting",TRUE,FALSE)</formula>
    </cfRule>
    <cfRule type="expression" dxfId="2093" priority="142">
      <formula>IF($B37="Quoting",TRUE,FALSE)</formula>
    </cfRule>
    <cfRule type="expression" dxfId="2092" priority="143">
      <formula>IF($B37="Quoting",TRUE,FALSE)</formula>
    </cfRule>
    <cfRule type="expression" dxfId="2091" priority="144">
      <formula>IF($B37="Quoting",TRUE,FALSE)</formula>
    </cfRule>
    <cfRule type="expression" dxfId="2090" priority="145">
      <formula>IF($B37="Quoting",TRUE,FALSE)</formula>
    </cfRule>
    <cfRule type="expression" dxfId="2089" priority="146">
      <formula>IF($B37="Quoting",TRUE,FALSE)</formula>
    </cfRule>
    <cfRule type="expression" dxfId="2088" priority="147">
      <formula>IF($B37="Quoting",TRUE,FALSE)</formula>
    </cfRule>
    <cfRule type="expression" dxfId="2087" priority="148">
      <formula>IF($B37="Quoting",TRUE,FALSE)</formula>
    </cfRule>
    <cfRule type="expression" dxfId="2086" priority="149">
      <formula>IF($B37="Quoting",TRUE,FALSE)</formula>
    </cfRule>
    <cfRule type="expression" dxfId="2085" priority="150">
      <formula>IF($B37="Quoting",TRUE,FALSE)</formula>
    </cfRule>
    <cfRule type="expression" dxfId="2084" priority="151">
      <formula>IF($B37="Quoting",TRUE,FALSE)</formula>
    </cfRule>
    <cfRule type="expression" dxfId="2083" priority="152">
      <formula>IF($B37="Quoting",TRUE,FALSE)</formula>
    </cfRule>
    <cfRule type="expression" dxfId="2082" priority="153">
      <formula>IF($B37="Quoting",TRUE,FALSE)</formula>
    </cfRule>
    <cfRule type="expression" dxfId="2081" priority="154">
      <formula>IF($B37="Quoting",TRUE,FALSE)</formula>
    </cfRule>
    <cfRule type="expression" dxfId="2080" priority="155">
      <formula>IF($B37="Quoting",TRUE,FALSE)</formula>
    </cfRule>
    <cfRule type="expression" dxfId="2079" priority="156">
      <formula>IF($B37="Quoting",TRUE,FALSE)</formula>
    </cfRule>
    <cfRule type="expression" dxfId="2078" priority="157">
      <formula>IF($B37="Quoting",TRUE,FALSE)</formula>
    </cfRule>
    <cfRule type="expression" dxfId="2077" priority="158">
      <formula>IF($B37="Quoting",TRUE,FALSE)</formula>
    </cfRule>
    <cfRule type="expression" dxfId="2076" priority="159">
      <formula>IF($B37="Quoting",TRUE,FALSE)</formula>
    </cfRule>
    <cfRule type="expression" dxfId="2075" priority="160">
      <formula>IF($B37="Quoting",TRUE,FALSE)</formula>
    </cfRule>
    <cfRule type="expression" dxfId="2074" priority="161">
      <formula>IF($B37="Quoting",TRUE,FALSE)</formula>
    </cfRule>
    <cfRule type="expression" dxfId="2073" priority="162">
      <formula>IF($B37="Quoting",TRUE,FALSE)</formula>
    </cfRule>
    <cfRule type="expression" dxfId="2072" priority="163">
      <formula>IF($B37="Quoting",TRUE,FALSE)</formula>
    </cfRule>
    <cfRule type="expression" dxfId="2071" priority="164">
      <formula>IF($B37="Quoting",TRUE,FALSE)</formula>
    </cfRule>
    <cfRule type="expression" dxfId="2070" priority="165">
      <formula>IF($B37="Quoting",TRUE,FALSE)</formula>
    </cfRule>
    <cfRule type="expression" dxfId="2069" priority="166">
      <formula>IF($B37="Quoting",TRUE,FALSE)</formula>
    </cfRule>
    <cfRule type="expression" dxfId="2068" priority="167">
      <formula>IF($B37="Quoting",TRUE,FALSE)</formula>
    </cfRule>
    <cfRule type="expression" dxfId="2067" priority="168">
      <formula>IF($B37="Quoting",TRUE,FALSE)</formula>
    </cfRule>
    <cfRule type="expression" dxfId="2066" priority="169">
      <formula>IF($B37="Quoting",TRUE,FALSE)</formula>
    </cfRule>
    <cfRule type="expression" dxfId="2065" priority="170">
      <formula>IF($B37="Quoting",TRUE,FALSE)</formula>
    </cfRule>
    <cfRule type="expression" dxfId="2064" priority="171">
      <formula>IF($B37="Quoting",TRUE,FALSE)</formula>
    </cfRule>
    <cfRule type="expression" dxfId="2063" priority="172">
      <formula>IF($B37="Quoting",TRUE,FALSE)</formula>
    </cfRule>
    <cfRule type="expression" dxfId="2062" priority="173">
      <formula>IF($B37="Quoting",TRUE,FALSE)</formula>
    </cfRule>
    <cfRule type="expression" dxfId="2061" priority="174">
      <formula>IF($B37="Quoting",TRUE,FALSE)</formula>
    </cfRule>
    <cfRule type="expression" dxfId="2060" priority="175">
      <formula>IF($B37="Quoting",TRUE,FALSE)</formula>
    </cfRule>
    <cfRule type="expression" dxfId="2059" priority="176">
      <formula>IF($B37="Quoting",TRUE,FALSE)</formula>
    </cfRule>
    <cfRule type="expression" dxfId="2058" priority="177">
      <formula>IF($B37="Quoting",TRUE,FALSE)</formula>
    </cfRule>
    <cfRule type="expression" dxfId="2057" priority="178">
      <formula>IF($B37="Quoting",TRUE,FALSE)</formula>
    </cfRule>
    <cfRule type="expression" dxfId="2056" priority="179">
      <formula>IF($B37="Quoting",TRUE,FALSE)</formula>
    </cfRule>
    <cfRule type="expression" dxfId="2055" priority="180">
      <formula>IF($B37="Quoting",TRUE,FALSE)</formula>
    </cfRule>
    <cfRule type="expression" dxfId="2054" priority="181">
      <formula>IF($B37="Quoting",TRUE,FALSE)</formula>
    </cfRule>
    <cfRule type="expression" dxfId="2053" priority="182">
      <formula>IF($B37="Quoting",TRUE,FALSE)</formula>
    </cfRule>
    <cfRule type="expression" dxfId="2052" priority="183">
      <formula>IF($B37="Quoting",TRUE,FALSE)</formula>
    </cfRule>
    <cfRule type="expression" dxfId="2051" priority="184">
      <formula>IF($B37="Quoting",TRUE,FALSE)</formula>
    </cfRule>
    <cfRule type="expression" dxfId="2050" priority="185">
      <formula>IF($B37="Quoting",TRUE,FALSE)</formula>
    </cfRule>
    <cfRule type="expression" dxfId="2049" priority="186">
      <formula>IF($B37="Quoting",TRUE,FALSE)</formula>
    </cfRule>
    <cfRule type="expression" dxfId="2048" priority="187">
      <formula>IF($B37="Quoting",TRUE,FALSE)</formula>
    </cfRule>
    <cfRule type="expression" dxfId="2047" priority="188">
      <formula>IF($B37="Quoting",TRUE,FALSE)</formula>
    </cfRule>
    <cfRule type="expression" dxfId="2046" priority="189">
      <formula>IF($B37="Quoting",TRUE,FALSE)</formula>
    </cfRule>
    <cfRule type="expression" dxfId="2045" priority="190">
      <formula>IF($B37="Quoting",TRUE,FALSE)</formula>
    </cfRule>
    <cfRule type="expression" dxfId="2044" priority="191">
      <formula>IF($B37="Quoting",TRUE,FALSE)</formula>
    </cfRule>
    <cfRule type="expression" dxfId="2043" priority="192">
      <formula>IF($B37="Quoting",TRUE,FALSE)</formula>
    </cfRule>
    <cfRule type="expression" dxfId="2042" priority="193">
      <formula>IF($B37="Quoting",TRUE,FALSE)</formula>
    </cfRule>
    <cfRule type="expression" dxfId="2041" priority="194">
      <formula>IF($B37="Quoting",TRUE,FALSE)</formula>
    </cfRule>
    <cfRule type="expression" dxfId="2040" priority="195">
      <formula>IF($B37="Quoting",TRUE,FALSE)</formula>
    </cfRule>
    <cfRule type="expression" dxfId="2039" priority="196">
      <formula>IF($B37="Quoting",TRUE,FALSE)</formula>
    </cfRule>
    <cfRule type="expression" dxfId="2038" priority="197">
      <formula>IF($B37="Quoting",TRUE,FALSE)</formula>
    </cfRule>
    <cfRule type="expression" dxfId="2037" priority="198">
      <formula>IF($B37="Quoting",TRUE,FALSE)</formula>
    </cfRule>
    <cfRule type="expression" dxfId="2036" priority="199">
      <formula>IF($B37="Quoting",TRUE,FALSE)</formula>
    </cfRule>
    <cfRule type="expression" dxfId="2035" priority="200">
      <formula>IF($B37="Quoting",TRUE,FALSE)</formula>
    </cfRule>
    <cfRule type="expression" dxfId="2034" priority="201">
      <formula>IF($B37="Quoting",TRUE,FALSE)</formula>
    </cfRule>
    <cfRule type="expression" dxfId="2033" priority="202">
      <formula>IF($B37="Quoting",TRUE,FALSE)</formula>
    </cfRule>
    <cfRule type="expression" dxfId="2032" priority="203">
      <formula>IF($B37="Quoting",TRUE,FALSE)</formula>
    </cfRule>
    <cfRule type="expression" dxfId="2031" priority="204">
      <formula>IF($B37="Quoting",TRUE,FALSE)</formula>
    </cfRule>
    <cfRule type="expression" dxfId="2030" priority="205">
      <formula>IF($B37="Quoting",TRUE,FALSE)</formula>
    </cfRule>
    <cfRule type="expression" dxfId="2029" priority="206">
      <formula>IF($B37="Quoting",TRUE,FALSE)</formula>
    </cfRule>
    <cfRule type="expression" dxfId="2028" priority="207">
      <formula>IF($B37="Quoting",TRUE,FALSE)</formula>
    </cfRule>
    <cfRule type="expression" dxfId="2027" priority="208">
      <formula>IF($B37="Quoting",TRUE,FALSE)</formula>
    </cfRule>
    <cfRule type="expression" dxfId="2026" priority="209">
      <formula>IF($B37="Quoting",TRUE,FALSE)</formula>
    </cfRule>
    <cfRule type="expression" dxfId="2025" priority="210">
      <formula>IF($B37="Quoting",TRUE,FALSE)</formula>
    </cfRule>
    <cfRule type="expression" dxfId="2024" priority="211">
      <formula>IF($B37="Quoting",TRUE,FALSE)</formula>
    </cfRule>
    <cfRule type="expression" dxfId="2023" priority="212">
      <formula>IF($B37="Quoting",TRUE,FALSE)</formula>
    </cfRule>
    <cfRule type="expression" dxfId="2022" priority="213">
      <formula>IF($B37="Quoting",TRUE,FALSE)</formula>
    </cfRule>
    <cfRule type="expression" dxfId="2021" priority="214">
      <formula>IF($B37="Quoting",TRUE,FALSE)</formula>
    </cfRule>
    <cfRule type="expression" dxfId="2020" priority="215">
      <formula>IF($B37="Quoting",TRUE,FALSE)</formula>
    </cfRule>
    <cfRule type="expression" dxfId="2019" priority="216">
      <formula>IF($B37="Quoting",TRUE,FALSE)</formula>
    </cfRule>
    <cfRule type="expression" dxfId="2018" priority="217">
      <formula>IF($B37="Quoting",TRUE,FALSE)</formula>
    </cfRule>
    <cfRule type="expression" dxfId="2017" priority="218">
      <formula>IF($B37="Quoting",TRUE,FALSE)</formula>
    </cfRule>
    <cfRule type="expression" dxfId="2016" priority="219">
      <formula>IF($B37="Quoting",TRUE,FALSE)</formula>
    </cfRule>
    <cfRule type="expression" dxfId="2015" priority="220">
      <formula>IF($B37="Quoting",TRUE,FALSE)</formula>
    </cfRule>
    <cfRule type="expression" dxfId="2014" priority="221">
      <formula>IF($B37="Quoting",TRUE,FALSE)</formula>
    </cfRule>
    <cfRule type="expression" dxfId="2013" priority="222">
      <formula>IF($B37="Quoting",TRUE,FALSE)</formula>
    </cfRule>
    <cfRule type="expression" dxfId="2012" priority="223">
      <formula>IF($B37="Quoting",TRUE,FALSE)</formula>
    </cfRule>
    <cfRule type="expression" dxfId="2011" priority="224">
      <formula>IF($B37="Quoting",TRUE,FALSE)</formula>
    </cfRule>
    <cfRule type="expression" dxfId="2010" priority="225">
      <formula>IF($B37="Quoting",TRUE,FALSE)</formula>
    </cfRule>
    <cfRule type="expression" dxfId="2009" priority="226">
      <formula>IF($B37="Quoting",TRUE,FALSE)</formula>
    </cfRule>
    <cfRule type="expression" dxfId="2008" priority="227">
      <formula>IF($B37="Quoting",TRUE,FALSE)</formula>
    </cfRule>
    <cfRule type="expression" dxfId="2007" priority="228">
      <formula>IF($B37="Quoting",TRUE,FALSE)</formula>
    </cfRule>
    <cfRule type="expression" dxfId="2006" priority="229">
      <formula>IF($B37="Quoting",TRUE,FALSE)</formula>
    </cfRule>
    <cfRule type="expression" dxfId="2005" priority="230">
      <formula>IF($B37="Quoting",TRUE,FALSE)</formula>
    </cfRule>
    <cfRule type="expression" dxfId="2004" priority="231">
      <formula>IF($B37="Quoting",TRUE,FALSE)</formula>
    </cfRule>
    <cfRule type="expression" dxfId="2003" priority="232">
      <formula>IF($B37="Quoting",TRUE,FALSE)</formula>
    </cfRule>
    <cfRule type="expression" dxfId="2002" priority="233">
      <formula>IF($B37="Quoting",TRUE,FALSE)</formula>
    </cfRule>
    <cfRule type="expression" dxfId="2001" priority="234">
      <formula>IF($B37="Quoting",TRUE,FALSE)</formula>
    </cfRule>
    <cfRule type="expression" dxfId="2000" priority="235">
      <formula>IF($B37="Quoting",TRUE,FALSE)</formula>
    </cfRule>
    <cfRule type="expression" dxfId="1999" priority="236">
      <formula>IF($B37="Quoting",TRUE,FALSE)</formula>
    </cfRule>
    <cfRule type="expression" dxfId="1998" priority="237">
      <formula>IF($B37="Quoting",TRUE,FALSE)</formula>
    </cfRule>
    <cfRule type="expression" dxfId="1997" priority="238">
      <formula>IF($B37="Quoting",TRUE,FALSE)</formula>
    </cfRule>
    <cfRule type="expression" dxfId="1996" priority="239">
      <formula>IF($B37="Quoting",TRUE,FALSE)</formula>
    </cfRule>
    <cfRule type="expression" dxfId="1995" priority="240">
      <formula>IF($B37="Quoting",TRUE,FALSE)</formula>
    </cfRule>
    <cfRule type="expression" dxfId="1994" priority="241">
      <formula>IF($B37="Quoting",TRUE,FALSE)</formula>
    </cfRule>
    <cfRule type="expression" dxfId="1993" priority="242">
      <formula>IF($B37="Quoting",TRUE,FALSE)</formula>
    </cfRule>
    <cfRule type="expression" dxfId="1992" priority="243">
      <formula>IF($B37="Quoting",TRUE,FALSE)</formula>
    </cfRule>
    <cfRule type="expression" dxfId="1991" priority="244">
      <formula>IF($B37="Quoting",TRUE,FALSE)</formula>
    </cfRule>
    <cfRule type="expression" dxfId="1990" priority="245">
      <formula>IF($B37="Quoting",TRUE,FALSE)</formula>
    </cfRule>
    <cfRule type="expression" dxfId="1989" priority="246">
      <formula>IF($B37="Quoting",TRUE,FALSE)</formula>
    </cfRule>
    <cfRule type="expression" dxfId="1988" priority="247">
      <formula>IF($B37="Quoting",TRUE,FALSE)</formula>
    </cfRule>
    <cfRule type="expression" dxfId="1987" priority="248">
      <formula>IF($B37="Quoting",TRUE,FALSE)</formula>
    </cfRule>
    <cfRule type="expression" dxfId="1986" priority="249">
      <formula>IF($B37="Quoting",TRUE,FALSE)</formula>
    </cfRule>
    <cfRule type="expression" dxfId="1985" priority="250">
      <formula>IF($B37="Quoting",TRUE,FALSE)</formula>
    </cfRule>
    <cfRule type="expression" dxfId="1984" priority="251">
      <formula>IF($B37="Quoting",TRUE,FALSE)</formula>
    </cfRule>
    <cfRule type="expression" dxfId="1983" priority="252">
      <formula>IF($B37="Quoting",TRUE,FALSE)</formula>
    </cfRule>
    <cfRule type="expression" dxfId="1982" priority="253">
      <formula>IF($B37="Quoting",TRUE,FALSE)</formula>
    </cfRule>
    <cfRule type="expression" dxfId="1981" priority="254">
      <formula>IF($B37="Quoting",TRUE,FALSE)</formula>
    </cfRule>
    <cfRule type="expression" dxfId="1980" priority="255">
      <formula>IF($B37="Quoting",TRUE,FALSE)</formula>
    </cfRule>
    <cfRule type="expression" dxfId="1979" priority="256">
      <formula>IF($B37="Quoting",TRUE,FALSE)</formula>
    </cfRule>
    <cfRule type="expression" dxfId="1978" priority="257">
      <formula>IF($B37="Quoting",TRUE,FALSE)</formula>
    </cfRule>
    <cfRule type="expression" dxfId="1977" priority="258">
      <formula>IF($B37="Quoting",TRUE,FALSE)</formula>
    </cfRule>
    <cfRule type="expression" dxfId="1976" priority="259">
      <formula>IF($B37="Quoting",TRUE,FALSE)</formula>
    </cfRule>
    <cfRule type="expression" dxfId="1975" priority="260">
      <formula>IF($B37="Quoting",TRUE,FALSE)</formula>
    </cfRule>
    <cfRule type="expression" dxfId="1974" priority="261">
      <formula>IF($B37="Quoting",TRUE,FALSE)</formula>
    </cfRule>
    <cfRule type="expression" dxfId="1973" priority="262">
      <formula>IF($B37="Quoting",TRUE,FALSE)</formula>
    </cfRule>
    <cfRule type="expression" dxfId="1972" priority="263">
      <formula>IF($B37="Quoting",TRUE,FALSE)</formula>
    </cfRule>
    <cfRule type="expression" dxfId="1971" priority="264">
      <formula>IF($B37="Quoting",TRUE,FALSE)</formula>
    </cfRule>
    <cfRule type="expression" dxfId="1970" priority="265">
      <formula>IF($B37="Quoting",TRUE,FALSE)</formula>
    </cfRule>
    <cfRule type="expression" dxfId="1969" priority="266">
      <formula>IF($B37="Quoting",TRUE,FALSE)</formula>
    </cfRule>
    <cfRule type="expression" dxfId="1968" priority="267">
      <formula>IF($B37="Quoting",TRUE,FALSE)</formula>
    </cfRule>
    <cfRule type="expression" dxfId="1967" priority="268">
      <formula>IF($B37="Quoting",TRUE,FALSE)</formula>
    </cfRule>
    <cfRule type="expression" dxfId="1966" priority="269">
      <formula>IF($B37="Quoting",TRUE,FALSE)</formula>
    </cfRule>
    <cfRule type="expression" dxfId="1965" priority="270">
      <formula>IF($B37="Quoting",TRUE,FALSE)</formula>
    </cfRule>
    <cfRule type="expression" dxfId="1964" priority="271">
      <formula>IF($B37="Quoting",TRUE,FALSE)</formula>
    </cfRule>
    <cfRule type="expression" dxfId="1963" priority="272">
      <formula>IF($B37="Quoting",TRUE,FALSE)</formula>
    </cfRule>
    <cfRule type="expression" dxfId="1962" priority="273">
      <formula>IF($B37="Quoting",TRUE,FALSE)</formula>
    </cfRule>
    <cfRule type="expression" dxfId="1961" priority="274">
      <formula>IF($B37="Quoting",TRUE,FALSE)</formula>
    </cfRule>
    <cfRule type="expression" dxfId="1960" priority="275">
      <formula>IF($B37="Quoting",TRUE,FALSE)</formula>
    </cfRule>
    <cfRule type="expression" dxfId="1959" priority="276">
      <formula>IF($B37="Quoting",TRUE,FALSE)</formula>
    </cfRule>
    <cfRule type="expression" dxfId="1958" priority="277">
      <formula>IF($B37="Quoting",TRUE,FALSE)</formula>
    </cfRule>
    <cfRule type="expression" dxfId="1957" priority="278">
      <formula>IF($B37="Quoting",TRUE,FALSE)</formula>
    </cfRule>
    <cfRule type="expression" dxfId="1956" priority="279">
      <formula>IF($B37="Quoting",TRUE,FALSE)</formula>
    </cfRule>
    <cfRule type="expression" dxfId="1955" priority="280">
      <formula>IF($B37="Quoting",TRUE,FALSE)</formula>
    </cfRule>
    <cfRule type="expression" dxfId="1954" priority="281">
      <formula>IF($B37="Quoting",TRUE,FALSE)</formula>
    </cfRule>
    <cfRule type="expression" dxfId="1953" priority="282">
      <formula>IF($B37="Quoting",TRUE,FALSE)</formula>
    </cfRule>
    <cfRule type="expression" dxfId="1952" priority="283">
      <formula>IF($B37="Quoting",TRUE,FALSE)</formula>
    </cfRule>
    <cfRule type="expression" dxfId="1951" priority="284">
      <formula>IF($B37="Quoting",TRUE,FALSE)</formula>
    </cfRule>
    <cfRule type="expression" dxfId="1950" priority="285">
      <formula>IF($B37="Quoting",TRUE,FALSE)</formula>
    </cfRule>
    <cfRule type="expression" dxfId="1949" priority="286">
      <formula>IF($B37="Quoting",TRUE,FALSE)</formula>
    </cfRule>
    <cfRule type="expression" dxfId="1948" priority="287">
      <formula>IF($B37="Quoting",TRUE,FALSE)</formula>
    </cfRule>
    <cfRule type="expression" dxfId="1947" priority="288">
      <formula>IF($B37="Quoting",TRUE,FALSE)</formula>
    </cfRule>
    <cfRule type="expression" dxfId="1946" priority="289">
      <formula>IF($B37="Quoting",TRUE,FALSE)</formula>
    </cfRule>
    <cfRule type="expression" dxfId="1945" priority="290">
      <formula>IF($B37="Quoting",TRUE,FALSE)</formula>
    </cfRule>
    <cfRule type="expression" dxfId="1944" priority="291">
      <formula>IF($B37="Quoting",TRUE,FALSE)</formula>
    </cfRule>
    <cfRule type="expression" dxfId="1943" priority="292">
      <formula>IF($B37="Quoting",TRUE,FALSE)</formula>
    </cfRule>
    <cfRule type="expression" dxfId="1942" priority="293">
      <formula>IF($B37="Quoting",TRUE,FALSE)</formula>
    </cfRule>
    <cfRule type="expression" dxfId="1941" priority="294">
      <formula>IF($B37="Quoting",TRUE,FALSE)</formula>
    </cfRule>
    <cfRule type="expression" dxfId="1940" priority="295">
      <formula>IF($B37="Quoting",TRUE,FALSE)</formula>
    </cfRule>
    <cfRule type="expression" dxfId="1939" priority="296">
      <formula>IF($B37="Quoting",TRUE,FALSE)</formula>
    </cfRule>
    <cfRule type="expression" dxfId="1938" priority="297">
      <formula>IF($B37="Quoting",TRUE,FALSE)</formula>
    </cfRule>
    <cfRule type="expression" dxfId="1937" priority="298">
      <formula>IF($B37="Quoting",TRUE,FALSE)</formula>
    </cfRule>
    <cfRule type="expression" dxfId="1936" priority="299">
      <formula>IF($B37="Quoting",TRUE,FALSE)</formula>
    </cfRule>
    <cfRule type="expression" dxfId="1935" priority="300">
      <formula>IF($B37="Quoting",TRUE,FALSE)</formula>
    </cfRule>
    <cfRule type="expression" dxfId="1934" priority="301">
      <formula>IF($B37="Quoting",TRUE,FALSE)</formula>
    </cfRule>
    <cfRule type="expression" dxfId="1933" priority="302">
      <formula>IF($B37="Quoting",TRUE,FALSE)</formula>
    </cfRule>
    <cfRule type="expression" dxfId="1932" priority="303">
      <formula>IF($B37="Quoting",TRUE,FALSE)</formula>
    </cfRule>
    <cfRule type="expression" dxfId="1931" priority="304">
      <formula>IF($B37="Quoting",TRUE,FALSE)</formula>
    </cfRule>
    <cfRule type="expression" dxfId="1930" priority="305">
      <formula>IF($B37="Quoting",TRUE,FALSE)</formula>
    </cfRule>
    <cfRule type="expression" dxfId="1929" priority="306">
      <formula>IF($B37="Quoting",TRUE,FALSE)</formula>
    </cfRule>
    <cfRule type="expression" dxfId="1928" priority="307">
      <formula>IF($B37="Quoting",TRUE,FALSE)</formula>
    </cfRule>
    <cfRule type="expression" dxfId="1927" priority="308">
      <formula>IF($B37="Quoting",TRUE,FALSE)</formula>
    </cfRule>
    <cfRule type="expression" dxfId="1926" priority="309">
      <formula>IF($B37="Quoting",TRUE,FALSE)</formula>
    </cfRule>
    <cfRule type="expression" dxfId="1925" priority="310">
      <formula>IF($B37="Quoting",TRUE,FALSE)</formula>
    </cfRule>
    <cfRule type="expression" dxfId="1924" priority="311">
      <formula>IF($B37="Quoting",TRUE,FALSE)</formula>
    </cfRule>
    <cfRule type="expression" dxfId="1923" priority="312">
      <formula>IF($B37="Quoting",TRUE,FALSE)</formula>
    </cfRule>
    <cfRule type="expression" dxfId="1922" priority="313">
      <formula>IF($B37="Quoting",TRUE,FALSE)</formula>
    </cfRule>
    <cfRule type="expression" dxfId="1921" priority="314">
      <formula>IF($B37="Quoting",TRUE,FALSE)</formula>
    </cfRule>
    <cfRule type="expression" dxfId="1920" priority="315">
      <formula>IF($B37="Quoting",TRUE,FALSE)</formula>
    </cfRule>
    <cfRule type="expression" dxfId="1919" priority="316">
      <formula>IF($B37="Quoting",TRUE,FALSE)</formula>
    </cfRule>
    <cfRule type="expression" dxfId="1918" priority="317">
      <formula>IF($B37="Quoting",TRUE,FALSE)</formula>
    </cfRule>
    <cfRule type="expression" dxfId="1917" priority="318">
      <formula>IF($B37="Quoting",TRUE,FALSE)</formula>
    </cfRule>
    <cfRule type="expression" dxfId="1916" priority="319">
      <formula>IF($B37="Quoting",TRUE,FALSE)</formula>
    </cfRule>
    <cfRule type="expression" dxfId="1915" priority="320">
      <formula>IF($B37="Quoting",TRUE,FALSE)</formula>
    </cfRule>
    <cfRule type="expression" dxfId="1914" priority="321">
      <formula>IF($B37="Quoting",TRUE,FALSE)</formula>
    </cfRule>
    <cfRule type="expression" dxfId="1913" priority="322">
      <formula>IF($B37="Quoting",TRUE,FALSE)</formula>
    </cfRule>
    <cfRule type="expression" dxfId="1912" priority="323">
      <formula>IF($B37="Quoting",TRUE,FALSE)</formula>
    </cfRule>
    <cfRule type="expression" dxfId="1911" priority="324">
      <formula>IF($B37="Quoting",TRUE,FALSE)</formula>
    </cfRule>
    <cfRule type="expression" dxfId="1910" priority="325">
      <formula>IF($B37="Quoting",TRUE,FALSE)</formula>
    </cfRule>
    <cfRule type="expression" dxfId="1909" priority="326">
      <formula>IF($B37="Quoting",TRUE,FALSE)</formula>
    </cfRule>
    <cfRule type="expression" dxfId="1908" priority="327">
      <formula>IF($B37="Quoting",TRUE,FALSE)</formula>
    </cfRule>
    <cfRule type="expression" dxfId="1907" priority="328">
      <formula>IF($B37="Quoting",TRUE,FALSE)</formula>
    </cfRule>
    <cfRule type="expression" dxfId="1906" priority="329">
      <formula>IF($B37="Quoting",TRUE,FALSE)</formula>
    </cfRule>
    <cfRule type="expression" dxfId="1905" priority="330">
      <formula>IF($B37="Quoting",TRUE,FALSE)</formula>
    </cfRule>
    <cfRule type="expression" dxfId="1904" priority="331">
      <formula>IF($B37="Quoting",TRUE,FALSE)</formula>
    </cfRule>
    <cfRule type="expression" dxfId="1903" priority="332">
      <formula>IF($B37="Quoting",TRUE,FALSE)</formula>
    </cfRule>
    <cfRule type="expression" dxfId="1902" priority="333">
      <formula>IF($B37="Quoting",TRUE,FALSE)</formula>
    </cfRule>
    <cfRule type="expression" dxfId="1901" priority="334">
      <formula>IF($B37="Quoting",TRUE,FALSE)</formula>
    </cfRule>
    <cfRule type="expression" dxfId="1900" priority="335">
      <formula>IF($B37="Quoting",TRUE,FALSE)</formula>
    </cfRule>
    <cfRule type="expression" dxfId="1899" priority="336">
      <formula>IF($B37="Quoting",TRUE,FALSE)</formula>
    </cfRule>
    <cfRule type="expression" dxfId="1898" priority="337">
      <formula>IF($B37="Quoting",TRUE,FALSE)</formula>
    </cfRule>
    <cfRule type="expression" dxfId="1897" priority="338">
      <formula>IF($B37="Quoting",TRUE,FALSE)</formula>
    </cfRule>
    <cfRule type="expression" dxfId="1896" priority="339">
      <formula>IF($B37="Quoting",TRUE,FALSE)</formula>
    </cfRule>
    <cfRule type="expression" dxfId="1895" priority="340">
      <formula>IF($B37="Quoting",TRUE,FALSE)</formula>
    </cfRule>
    <cfRule type="expression" dxfId="1894" priority="341">
      <formula>IF($B37="Quoting",TRUE,FALSE)</formula>
    </cfRule>
    <cfRule type="expression" dxfId="1893" priority="342">
      <formula>IF($B37="Quoting",TRUE,FALSE)</formula>
    </cfRule>
    <cfRule type="expression" dxfId="1892" priority="343">
      <formula>IF($B37="Quoting",TRUE,FALSE)</formula>
    </cfRule>
    <cfRule type="expression" dxfId="1891" priority="344">
      <formula>IF($B37="Quoting",TRUE,FALSE)</formula>
    </cfRule>
    <cfRule type="expression" dxfId="1890" priority="345">
      <formula>IF($B37="Quoting",TRUE,FALSE)</formula>
    </cfRule>
    <cfRule type="expression" dxfId="1889" priority="346">
      <formula>IF($B37="Quoting",TRUE,FALSE)</formula>
    </cfRule>
    <cfRule type="expression" dxfId="1888" priority="347">
      <formula>IF($B37="Quoting",TRUE,FALSE)</formula>
    </cfRule>
    <cfRule type="expression" dxfId="1887" priority="348">
      <formula>IF($B37="Quoting",TRUE,FALSE)</formula>
    </cfRule>
    <cfRule type="expression" dxfId="1886" priority="349">
      <formula>IF($B37="Quoting",TRUE,FALSE)</formula>
    </cfRule>
    <cfRule type="expression" dxfId="1885" priority="350">
      <formula>IF($B37="Quoting",TRUE,FALSE)</formula>
    </cfRule>
    <cfRule type="expression" dxfId="1884" priority="351">
      <formula>IF($B37="Quoting",TRUE,FALSE)</formula>
    </cfRule>
    <cfRule type="expression" dxfId="1883" priority="352">
      <formula>IF($B37="Quoting",TRUE,FALSE)</formula>
    </cfRule>
    <cfRule type="expression" dxfId="1882" priority="353">
      <formula>IF($B37="Quoting",TRUE,FALSE)</formula>
    </cfRule>
    <cfRule type="expression" dxfId="1881" priority="354">
      <formula>IF($B37="Quoting",TRUE,FALSE)</formula>
    </cfRule>
    <cfRule type="expression" dxfId="1880" priority="355">
      <formula>IF($B37="Quoting",TRUE,FALSE)</formula>
    </cfRule>
    <cfRule type="expression" dxfId="1879" priority="356">
      <formula>IF($B37="Quoting",TRUE,FALSE)</formula>
    </cfRule>
    <cfRule type="expression" dxfId="1878" priority="357">
      <formula>IF($B37="Quoting",TRUE,FALSE)</formula>
    </cfRule>
    <cfRule type="expression" dxfId="1877" priority="358">
      <formula>IF($B37="Quoting",TRUE,FALSE)</formula>
    </cfRule>
    <cfRule type="expression" dxfId="1876" priority="359">
      <formula>IF($B37="Quoting",TRUE,FALSE)</formula>
    </cfRule>
    <cfRule type="expression" dxfId="1875" priority="360">
      <formula>IF($B37="Quoting",TRUE,FALSE)</formula>
    </cfRule>
    <cfRule type="expression" dxfId="1874" priority="361">
      <formula>IF($B37="Quoting",TRUE,FALSE)</formula>
    </cfRule>
    <cfRule type="expression" dxfId="1873" priority="362">
      <formula>IF($B37="Quoting",TRUE,FALSE)</formula>
    </cfRule>
    <cfRule type="expression" dxfId="1872" priority="363">
      <formula>IF($B37="Quoting",TRUE,FALSE)</formula>
    </cfRule>
    <cfRule type="expression" dxfId="1871" priority="364">
      <formula>IF($B37="Quoting",TRUE,FALSE)</formula>
    </cfRule>
    <cfRule type="expression" dxfId="1870" priority="365">
      <formula>IF($B37="Quoting",TRUE,FALSE)</formula>
    </cfRule>
    <cfRule type="expression" dxfId="1869" priority="366">
      <formula>IF($B37="Quoting",TRUE,FALSE)</formula>
    </cfRule>
    <cfRule type="expression" dxfId="1868" priority="367">
      <formula>IF($B37="Quoting",TRUE,FALSE)</formula>
    </cfRule>
    <cfRule type="expression" dxfId="1867" priority="368">
      <formula>IF($B37="Quoting",TRUE,FALSE)</formula>
    </cfRule>
    <cfRule type="expression" dxfId="1866" priority="369">
      <formula>IF($B37="Quoting",TRUE,FALSE)</formula>
    </cfRule>
    <cfRule type="expression" dxfId="1865" priority="370">
      <formula>IF($B37="Quoting",TRUE,FALSE)</formula>
    </cfRule>
    <cfRule type="expression" dxfId="1864" priority="371">
      <formula>IF($B37="Quoting",TRUE,FALSE)</formula>
    </cfRule>
    <cfRule type="expression" dxfId="1863" priority="372">
      <formula>IF($B37="Quoting",TRUE,FALSE)</formula>
    </cfRule>
    <cfRule type="expression" dxfId="1862" priority="373">
      <formula>IF($B37="Quoting",TRUE,FALSE)</formula>
    </cfRule>
    <cfRule type="expression" dxfId="1861" priority="374">
      <formula>IF($B37="Quoting",TRUE,FALSE)</formula>
    </cfRule>
    <cfRule type="expression" dxfId="1860" priority="375">
      <formula>IF($B37="Quoting",TRUE,FALSE)</formula>
    </cfRule>
    <cfRule type="expression" dxfId="1859" priority="376">
      <formula>IF($B37="Quoting",TRUE,FALSE)</formula>
    </cfRule>
    <cfRule type="expression" dxfId="1858" priority="377">
      <formula>IF($B37="Quoting",TRUE,FALSE)</formula>
    </cfRule>
    <cfRule type="expression" dxfId="1857" priority="378">
      <formula>IF($B37="Quoting",TRUE,FALSE)</formula>
    </cfRule>
    <cfRule type="expression" dxfId="1856" priority="379">
      <formula>IF($B37="Quoting",TRUE,FALSE)</formula>
    </cfRule>
    <cfRule type="expression" dxfId="1855" priority="380">
      <formula>IF($B37="Quoting",TRUE,FALSE)</formula>
    </cfRule>
    <cfRule type="expression" dxfId="1854" priority="381">
      <formula>IF($B37="Quoting",TRUE,FALSE)</formula>
    </cfRule>
    <cfRule type="expression" dxfId="1853" priority="382">
      <formula>IF($B37="Quoting",TRUE,FALSE)</formula>
    </cfRule>
    <cfRule type="expression" dxfId="1852" priority="383">
      <formula>IF($B37="Quoting",TRUE,FALSE)</formula>
    </cfRule>
    <cfRule type="expression" dxfId="1851" priority="384">
      <formula>IF($B37="Quoting",TRUE,FALSE)</formula>
    </cfRule>
    <cfRule type="expression" dxfId="1850" priority="385">
      <formula>IF($B37="Quoting",TRUE,FALSE)</formula>
    </cfRule>
    <cfRule type="expression" dxfId="1849" priority="386">
      <formula>IF($B37="Quoting",TRUE,FALSE)</formula>
    </cfRule>
    <cfRule type="expression" dxfId="1848" priority="387">
      <formula>IF($B37="Quoting",TRUE,FALSE)</formula>
    </cfRule>
    <cfRule type="expression" dxfId="1847" priority="388">
      <formula>IF($B37="Quoting",TRUE,FALSE)</formula>
    </cfRule>
    <cfRule type="expression" dxfId="1846" priority="389">
      <formula>IF($B37="Quoting",TRUE,FALSE)</formula>
    </cfRule>
    <cfRule type="expression" dxfId="1845" priority="390">
      <formula>IF($B37="Quoting",TRUE,FALSE)</formula>
    </cfRule>
    <cfRule type="expression" dxfId="1844" priority="391">
      <formula>IF($B37="Quoting",TRUE,FALSE)</formula>
    </cfRule>
    <cfRule type="expression" dxfId="1843" priority="392">
      <formula>IF($B37="Quoting",TRUE,FALSE)</formula>
    </cfRule>
    <cfRule type="expression" dxfId="1842" priority="393">
      <formula>IF($B37="Quoting",TRUE,FALSE)</formula>
    </cfRule>
    <cfRule type="expression" dxfId="1841" priority="394">
      <formula>IF($B37="Quoting",TRUE,FALSE)</formula>
    </cfRule>
    <cfRule type="expression" dxfId="1840" priority="395">
      <formula>IF($B37="Quoting",TRUE,FALSE)</formula>
    </cfRule>
    <cfRule type="expression" dxfId="1839" priority="396">
      <formula>IF($B37="Quoting",TRUE,FALSE)</formula>
    </cfRule>
    <cfRule type="expression" dxfId="1838" priority="397">
      <formula>IF($B37="Quoting",TRUE,FALSE)</formula>
    </cfRule>
    <cfRule type="expression" dxfId="1837" priority="398">
      <formula>IF($B37="Quoting",TRUE,FALSE)</formula>
    </cfRule>
    <cfRule type="expression" dxfId="1836" priority="399">
      <formula>IF($B37="Quoting",TRUE,FALSE)</formula>
    </cfRule>
    <cfRule type="expression" dxfId="1835" priority="400">
      <formula>IF($B37="Quoting",TRUE,FALSE)</formula>
    </cfRule>
    <cfRule type="expression" dxfId="1834" priority="401">
      <formula>IF($B37="Quoting",TRUE,FALSE)</formula>
    </cfRule>
    <cfRule type="expression" dxfId="1833" priority="402">
      <formula>IF($B37="Quoting",TRUE,FALSE)</formula>
    </cfRule>
    <cfRule type="expression" dxfId="1832" priority="403">
      <formula>IF($B37="Quoting",TRUE,FALSE)</formula>
    </cfRule>
    <cfRule type="expression" dxfId="1831" priority="404">
      <formula>IF($B37="Quoting",TRUE,FALSE)</formula>
    </cfRule>
    <cfRule type="expression" dxfId="1830" priority="405">
      <formula>IF($B37="Quoting",TRUE,FALSE)</formula>
    </cfRule>
    <cfRule type="expression" dxfId="1829" priority="406">
      <formula>IF($B37="Quoting",TRUE,FALSE)</formula>
    </cfRule>
    <cfRule type="expression" dxfId="1828" priority="407">
      <formula>IF($B37="Quoting",TRUE,FALSE)</formula>
    </cfRule>
    <cfRule type="expression" dxfId="1827" priority="408">
      <formula>IF($B37="Quoting",TRUE,FALSE)</formula>
    </cfRule>
    <cfRule type="expression" dxfId="1826" priority="409">
      <formula>IF($B37="Quoting",TRUE,FALSE)</formula>
    </cfRule>
    <cfRule type="expression" dxfId="1825" priority="410">
      <formula>IF($B37="Quoting",TRUE,FALSE)</formula>
    </cfRule>
    <cfRule type="expression" dxfId="1824" priority="411">
      <formula>IF($B37="Quoting",TRUE,FALSE)</formula>
    </cfRule>
    <cfRule type="expression" dxfId="1823" priority="412">
      <formula>IF($B37="Quoting",TRUE,FALSE)</formula>
    </cfRule>
    <cfRule type="expression" dxfId="1822" priority="413">
      <formula>IF($B37="Quoting",TRUE,FALSE)</formula>
    </cfRule>
    <cfRule type="expression" dxfId="1821" priority="414">
      <formula>IF($B37="Quoting",TRUE,FALSE)</formula>
    </cfRule>
    <cfRule type="expression" dxfId="1820" priority="415">
      <formula>IF($B37="Quoting",TRUE,FALSE)</formula>
    </cfRule>
    <cfRule type="expression" dxfId="1819" priority="416">
      <formula>IF($B37="Quoting",TRUE,FALSE)</formula>
    </cfRule>
    <cfRule type="expression" dxfId="1818" priority="417">
      <formula>IF($B37="Quoting",TRUE,FALSE)</formula>
    </cfRule>
    <cfRule type="expression" dxfId="1817" priority="418">
      <formula>IF($B37="Quoting",TRUE,FALSE)</formula>
    </cfRule>
    <cfRule type="expression" dxfId="1816" priority="419">
      <formula>IF($B37="Quoting",TRUE,FALSE)</formula>
    </cfRule>
    <cfRule type="expression" dxfId="1815" priority="420">
      <formula>IF($B37="Quoting",TRUE,FALSE)</formula>
    </cfRule>
    <cfRule type="expression" dxfId="1814" priority="421">
      <formula>IF($B37="Quoting",TRUE,FALSE)</formula>
    </cfRule>
    <cfRule type="expression" dxfId="1813" priority="422">
      <formula>IF($B37="Quoting",TRUE,FALSE)</formula>
    </cfRule>
    <cfRule type="expression" dxfId="1812" priority="423">
      <formula>IF($B37="Quoting",TRUE,FALSE)</formula>
    </cfRule>
    <cfRule type="expression" dxfId="1811" priority="424">
      <formula>IF($B37="Quoting",TRUE,FALSE)</formula>
    </cfRule>
    <cfRule type="expression" dxfId="1810" priority="425">
      <formula>IF($B37="Quoting",TRUE,FALSE)</formula>
    </cfRule>
    <cfRule type="expression" dxfId="1809" priority="426">
      <formula>IF($B37="Quoting",TRUE,FALSE)</formula>
    </cfRule>
    <cfRule type="expression" dxfId="1808" priority="427">
      <formula>IF($B37="Quoting",TRUE,FALSE)</formula>
    </cfRule>
    <cfRule type="expression" dxfId="1807" priority="428">
      <formula>IF($B37="Quoting",TRUE,FALSE)</formula>
    </cfRule>
    <cfRule type="expression" dxfId="1806" priority="429">
      <formula>IF($B37="Quoting",TRUE,FALSE)</formula>
    </cfRule>
    <cfRule type="expression" dxfId="1805" priority="430">
      <formula>IF($B37="Quoting",TRUE,FALSE)</formula>
    </cfRule>
    <cfRule type="expression" dxfId="1804" priority="431">
      <formula>IF($B37="Quoting",TRUE,FALSE)</formula>
    </cfRule>
    <cfRule type="expression" dxfId="1803" priority="432">
      <formula>IF($B37="Quoting",TRUE,FALSE)</formula>
    </cfRule>
    <cfRule type="expression" dxfId="1802" priority="433">
      <formula>IF($B37="Quoting",TRUE,FALSE)</formula>
    </cfRule>
    <cfRule type="expression" dxfId="1801" priority="434">
      <formula>IF($B37="Quoting",TRUE,FALSE)</formula>
    </cfRule>
    <cfRule type="expression" dxfId="1800" priority="435">
      <formula>IF($B37="Quoting",TRUE,FALSE)</formula>
    </cfRule>
    <cfRule type="expression" dxfId="1799" priority="436">
      <formula>IF($B37="Quoting",TRUE,FALSE)</formula>
    </cfRule>
    <cfRule type="expression" dxfId="1798" priority="437">
      <formula>IF($B37="Quoting",TRUE,FALSE)</formula>
    </cfRule>
    <cfRule type="expression" dxfId="1797" priority="438">
      <formula>IF($B37="Quoting",TRUE,FALSE)</formula>
    </cfRule>
    <cfRule type="expression" dxfId="1796" priority="439">
      <formula>IF($B37="Quoting",TRUE,FALSE)</formula>
    </cfRule>
    <cfRule type="expression" dxfId="1795" priority="440">
      <formula>IF($B37="Quoting",TRUE,FALSE)</formula>
    </cfRule>
    <cfRule type="expression" dxfId="1794" priority="441">
      <formula>IF($B37="Quoting",TRUE,FALSE)</formula>
    </cfRule>
    <cfRule type="expression" dxfId="1793" priority="442">
      <formula>IF($B37="Quoting",TRUE,FALSE)</formula>
    </cfRule>
    <cfRule type="expression" dxfId="1792" priority="443">
      <formula>IF($B37="Quoting",TRUE,FALSE)</formula>
    </cfRule>
    <cfRule type="expression" dxfId="1791" priority="444">
      <formula>IF($B37="Quoting",TRUE,FALSE)</formula>
    </cfRule>
    <cfRule type="expression" dxfId="1790" priority="445">
      <formula>IF($B37="Quoting",TRUE,FALSE)</formula>
    </cfRule>
    <cfRule type="expression" dxfId="1789" priority="446">
      <formula>IF($B37="Quoting",TRUE,FALSE)</formula>
    </cfRule>
    <cfRule type="expression" dxfId="1788" priority="447">
      <formula>IF($B37="Quoting",TRUE,FALSE)</formula>
    </cfRule>
    <cfRule type="expression" dxfId="1787" priority="448">
      <formula>IF($B37="Quoting",TRUE,FALSE)</formula>
    </cfRule>
    <cfRule type="expression" dxfId="1786" priority="449">
      <formula>IF($B37="Quoting",TRUE,FALSE)</formula>
    </cfRule>
    <cfRule type="expression" dxfId="1785" priority="450">
      <formula>IF($B37="Quoting",TRUE,FALSE)</formula>
    </cfRule>
    <cfRule type="expression" dxfId="1784" priority="451">
      <formula>IF($B37="Quoting",TRUE,FALSE)</formula>
    </cfRule>
    <cfRule type="expression" dxfId="1783" priority="452">
      <formula>IF($B37="Quoting",TRUE,FALSE)</formula>
    </cfRule>
    <cfRule type="expression" dxfId="1782" priority="453">
      <formula>IF($B37="Quoting",TRUE,FALSE)</formula>
    </cfRule>
    <cfRule type="expression" dxfId="1781" priority="454">
      <formula>IF($B37="Quoting",TRUE,FALSE)</formula>
    </cfRule>
    <cfRule type="expression" dxfId="1780" priority="455">
      <formula>IF($B37="Quoting",TRUE,FALSE)</formula>
    </cfRule>
    <cfRule type="expression" dxfId="1779" priority="456">
      <formula>IF($B37="Quoting",TRUE,FALSE)</formula>
    </cfRule>
    <cfRule type="expression" dxfId="1778" priority="457">
      <formula>IF($B37="Quoting",TRUE,FALSE)</formula>
    </cfRule>
    <cfRule type="expression" dxfId="1777" priority="458">
      <formula>IF($B37="Quoting",TRUE,FALSE)</formula>
    </cfRule>
    <cfRule type="expression" dxfId="1776" priority="459">
      <formula>IF($B37="Quoting",TRUE,FALSE)</formula>
    </cfRule>
    <cfRule type="expression" dxfId="1775" priority="460">
      <formula>IF($B37="Quoting",TRUE,FALSE)</formula>
    </cfRule>
    <cfRule type="expression" dxfId="1774" priority="461">
      <formula>IF($B37="Quoting",TRUE,FALSE)</formula>
    </cfRule>
    <cfRule type="expression" dxfId="1773" priority="462">
      <formula>IF($B37="Quoting",TRUE,FALSE)</formula>
    </cfRule>
    <cfRule type="expression" dxfId="1772" priority="463">
      <formula>IF($B37="Quoting",TRUE,FALSE)</formula>
    </cfRule>
    <cfRule type="expression" dxfId="1771" priority="464">
      <formula>IF($B37="Quoting",TRUE,FALSE)</formula>
    </cfRule>
    <cfRule type="expression" dxfId="1770" priority="465">
      <formula>IF($B37="Quoting",TRUE,FALSE)</formula>
    </cfRule>
    <cfRule type="expression" dxfId="1769" priority="466">
      <formula>IF($B37="Quoting",TRUE,FALSE)</formula>
    </cfRule>
    <cfRule type="expression" dxfId="1768" priority="467">
      <formula>IF($B37="Quoting",TRUE,FALSE)</formula>
    </cfRule>
    <cfRule type="expression" dxfId="1767" priority="468">
      <formula>IF($B37="Quoting",TRUE,FALSE)</formula>
    </cfRule>
    <cfRule type="expression" dxfId="1766" priority="469">
      <formula>IF($B37="Quoting",TRUE,FALSE)</formula>
    </cfRule>
    <cfRule type="expression" dxfId="1765" priority="470">
      <formula>IF($B37="Quoting",TRUE,FALSE)</formula>
    </cfRule>
    <cfRule type="expression" dxfId="1764" priority="471">
      <formula>IF($B37="Quoting",TRUE,FALSE)</formula>
    </cfRule>
    <cfRule type="expression" dxfId="1763" priority="472">
      <formula>IF($B37="Quoting",TRUE,FALSE)</formula>
    </cfRule>
    <cfRule type="expression" dxfId="1762" priority="473">
      <formula>IF($B37="Quoting",TRUE,FALSE)</formula>
    </cfRule>
    <cfRule type="expression" dxfId="1761" priority="474">
      <formula>IF($B37="Quoting",TRUE,FALSE)</formula>
    </cfRule>
    <cfRule type="expression" dxfId="1760" priority="475">
      <formula>IF($B37="Quoting",TRUE,FALSE)</formula>
    </cfRule>
    <cfRule type="expression" dxfId="1759" priority="476">
      <formula>IF($B37="Quoting",TRUE,FALSE)</formula>
    </cfRule>
    <cfRule type="expression" dxfId="1758" priority="477">
      <formula>IF($B37="Quoting",TRUE,FALSE)</formula>
    </cfRule>
    <cfRule type="expression" dxfId="1757" priority="478">
      <formula>IF($B37="Quoting",TRUE,FALSE)</formula>
    </cfRule>
    <cfRule type="expression" dxfId="1756" priority="479">
      <formula>IF($B37="Quoting",TRUE,FALSE)</formula>
    </cfRule>
    <cfRule type="expression" dxfId="1755" priority="480">
      <formula>IF($B37="Quoting",TRUE,FALSE)</formula>
    </cfRule>
    <cfRule type="expression" dxfId="1754" priority="481">
      <formula>IF($B37="Quoting",TRUE,FALSE)</formula>
    </cfRule>
    <cfRule type="expression" dxfId="1753" priority="482">
      <formula>IF($B37="Quoting",TRUE,FALSE)</formula>
    </cfRule>
    <cfRule type="expression" dxfId="1752" priority="483">
      <formula>IF($B37="Quoting",TRUE,FALSE)</formula>
    </cfRule>
    <cfRule type="expression" dxfId="1751" priority="484">
      <formula>IF($B37="Quoting",TRUE,FALSE)</formula>
    </cfRule>
    <cfRule type="expression" dxfId="1750" priority="485">
      <formula>IF($B37="Quoting",TRUE,FALSE)</formula>
    </cfRule>
    <cfRule type="expression" dxfId="1749" priority="486">
      <formula>IF($B37="Quoting",TRUE,FALSE)</formula>
    </cfRule>
    <cfRule type="expression" dxfId="1748" priority="487">
      <formula>IF($B37="Quoting",TRUE,FALSE)</formula>
    </cfRule>
    <cfRule type="expression" dxfId="1747" priority="488">
      <formula>IF($B37="Quoting",TRUE,FALSE)</formula>
    </cfRule>
    <cfRule type="expression" dxfId="1746" priority="489">
      <formula>IF($B37="Quoting",TRUE,FALSE)</formula>
    </cfRule>
    <cfRule type="expression" dxfId="1745" priority="490">
      <formula>IF($B37="Quoting",TRUE,FALSE)</formula>
    </cfRule>
    <cfRule type="expression" dxfId="1744" priority="491">
      <formula>IF($B37="Quoting",TRUE,FALSE)</formula>
    </cfRule>
    <cfRule type="expression" dxfId="1743" priority="492">
      <formula>IF($B37="Quoting",TRUE,FALSE)</formula>
    </cfRule>
    <cfRule type="expression" dxfId="1742" priority="493">
      <formula>IF($B37="Quoting",TRUE,FALSE)</formula>
    </cfRule>
    <cfRule type="expression" dxfId="1741" priority="494">
      <formula>IF($B37="Quoting",TRUE,FALSE)</formula>
    </cfRule>
    <cfRule type="expression" dxfId="1740" priority="495">
      <formula>IF($B37="Quoting",TRUE,FALSE)</formula>
    </cfRule>
    <cfRule type="expression" dxfId="1739" priority="496">
      <formula>IF($B37="Quoting",TRUE,FALSE)</formula>
    </cfRule>
    <cfRule type="expression" dxfId="1738" priority="497">
      <formula>IF($B37="Quoting",TRUE,FALSE)</formula>
    </cfRule>
    <cfRule type="expression" dxfId="1737" priority="498">
      <formula>IF($B37="Quoting",TRUE,FALSE)</formula>
    </cfRule>
    <cfRule type="expression" dxfId="1736" priority="499">
      <formula>IF($B37="Quoting",TRUE,FALSE)</formula>
    </cfRule>
    <cfRule type="expression" dxfId="1735" priority="500">
      <formula>IF($B37="Quoting",TRUE,FALSE)</formula>
    </cfRule>
    <cfRule type="expression" dxfId="1734" priority="501">
      <formula>IF($B37="Quoting",TRUE,FALSE)</formula>
    </cfRule>
    <cfRule type="expression" dxfId="1733" priority="502">
      <formula>IF($B37="Quoting",TRUE,FALSE)</formula>
    </cfRule>
    <cfRule type="expression" dxfId="1732" priority="503">
      <formula>IF($B37="Quoting",TRUE,FALSE)</formula>
    </cfRule>
    <cfRule type="expression" dxfId="1731" priority="504">
      <formula>IF($B37="Quoting",TRUE,FALSE)</formula>
    </cfRule>
    <cfRule type="expression" dxfId="1730" priority="505">
      <formula>IF($B37="Quoting",TRUE,FALSE)</formula>
    </cfRule>
    <cfRule type="expression" dxfId="1729" priority="506">
      <formula>IF($B37="Quoting",TRUE,FALSE)</formula>
    </cfRule>
    <cfRule type="expression" dxfId="1728" priority="507">
      <formula>IF($B37="Quoting",TRUE,FALSE)</formula>
    </cfRule>
    <cfRule type="expression" dxfId="1727" priority="508">
      <formula>IF($B37="Quoting",TRUE,FALSE)</formula>
    </cfRule>
    <cfRule type="expression" dxfId="1726" priority="509">
      <formula>IF($B37="Quoting",TRUE,FALSE)</formula>
    </cfRule>
    <cfRule type="expression" dxfId="1725" priority="510">
      <formula>IF($B37="Quoting",TRUE,FALSE)</formula>
    </cfRule>
    <cfRule type="expression" dxfId="1724" priority="511">
      <formula>IF($B37="Quoting",TRUE,FALSE)</formula>
    </cfRule>
    <cfRule type="expression" dxfId="1723" priority="512">
      <formula>IF($B37="Quoting",TRUE,FALSE)</formula>
    </cfRule>
    <cfRule type="expression" dxfId="1722" priority="513">
      <formula>IF($B37="Quoting",TRUE,FALSE)</formula>
    </cfRule>
    <cfRule type="expression" dxfId="1721" priority="514">
      <formula>IF($B37="Quoting",TRUE,FALSE)</formula>
    </cfRule>
    <cfRule type="expression" dxfId="1720" priority="515">
      <formula>IF($B37="Quoting",TRUE,FALSE)</formula>
    </cfRule>
    <cfRule type="expression" dxfId="1719" priority="516">
      <formula>IF($B37="Quoting",TRUE,FALSE)</formula>
    </cfRule>
    <cfRule type="expression" dxfId="1718" priority="517">
      <formula>IF($B37="Quoting",TRUE,FALSE)</formula>
    </cfRule>
    <cfRule type="expression" dxfId="1717" priority="518">
      <formula>IF($B37="Quoting",TRUE,FALSE)</formula>
    </cfRule>
    <cfRule type="expression" dxfId="1716" priority="519">
      <formula>IF($B37="Quoting",TRUE,FALSE)</formula>
    </cfRule>
    <cfRule type="expression" dxfId="1715" priority="520">
      <formula>IF($B37="Quoting",TRUE,FALSE)</formula>
    </cfRule>
    <cfRule type="expression" dxfId="1714" priority="521">
      <formula>IF($B37="Quoting",TRUE,FALSE)</formula>
    </cfRule>
    <cfRule type="expression" dxfId="1713" priority="522">
      <formula>IF($B37="Quoting",TRUE,FALSE)</formula>
    </cfRule>
    <cfRule type="expression" dxfId="1712" priority="523">
      <formula>IF($B37="Quoting",TRUE,FALSE)</formula>
    </cfRule>
    <cfRule type="expression" dxfId="1711" priority="524">
      <formula>IF($B37="Quoting",TRUE,FALSE)</formula>
    </cfRule>
    <cfRule type="expression" dxfId="1710" priority="525">
      <formula>IF($B37="Quoting",TRUE,FALSE)</formula>
    </cfRule>
    <cfRule type="expression" dxfId="1709" priority="526">
      <formula>IF($B37="Quoting",TRUE,FALSE)</formula>
    </cfRule>
    <cfRule type="expression" dxfId="1708" priority="527">
      <formula>IF($B37="Quoting",TRUE,FALSE)</formula>
    </cfRule>
    <cfRule type="expression" dxfId="1707" priority="528">
      <formula>IF($B37="Quoting",TRUE,FALSE)</formula>
    </cfRule>
    <cfRule type="expression" dxfId="1706" priority="529">
      <formula>IF($B37="Quoting",TRUE,FALSE)</formula>
    </cfRule>
    <cfRule type="expression" dxfId="1705" priority="530">
      <formula>IF($B37="Quoting",TRUE,FALSE)</formula>
    </cfRule>
    <cfRule type="expression" dxfId="1704" priority="531">
      <formula>IF($B37="Quoting",TRUE,FALSE)</formula>
    </cfRule>
    <cfRule type="expression" dxfId="1703" priority="532">
      <formula>IF($B37="Quoting",TRUE,FALSE)</formula>
    </cfRule>
    <cfRule type="expression" dxfId="1702" priority="533">
      <formula>IF($B37="Quoting",TRUE,FALSE)</formula>
    </cfRule>
    <cfRule type="expression" dxfId="1701" priority="534">
      <formula>IF($B37="Quoting",TRUE,FALSE)</formula>
    </cfRule>
    <cfRule type="expression" dxfId="1700" priority="535">
      <formula>IF($B37="Quoting",TRUE,FALSE)</formula>
    </cfRule>
    <cfRule type="expression" dxfId="1699" priority="536">
      <formula>IF($B37="Quoting",TRUE,FALSE)</formula>
    </cfRule>
    <cfRule type="expression" dxfId="1698" priority="537">
      <formula>IF($B37="Quoting",TRUE,FALSE)</formula>
    </cfRule>
    <cfRule type="expression" dxfId="1697" priority="538">
      <formula>IF($B37="Quoting",TRUE,FALSE)</formula>
    </cfRule>
    <cfRule type="expression" dxfId="1696" priority="539">
      <formula>IF($B37="Quoting",TRUE,FALSE)</formula>
    </cfRule>
    <cfRule type="expression" dxfId="1695" priority="540">
      <formula>IF($B37="Quoting",TRUE,FALSE)</formula>
    </cfRule>
    <cfRule type="expression" dxfId="1694" priority="541">
      <formula>IF($B37="Quoting",TRUE,FALSE)</formula>
    </cfRule>
    <cfRule type="expression" dxfId="1693" priority="542">
      <formula>IF($B37="Quoting",TRUE,FALSE)</formula>
    </cfRule>
    <cfRule type="expression" dxfId="1692" priority="543">
      <formula>IF($B37="Quoting",TRUE,FALSE)</formula>
    </cfRule>
    <cfRule type="expression" dxfId="1691" priority="544">
      <formula>IF($B37="Quoting",TRUE,FALSE)</formula>
    </cfRule>
    <cfRule type="expression" dxfId="1690" priority="545">
      <formula>IF($B37="Quoting",TRUE,FALSE)</formula>
    </cfRule>
    <cfRule type="expression" dxfId="1689" priority="546">
      <formula>IF($B37="Quoting",TRUE,FALSE)</formula>
    </cfRule>
    <cfRule type="expression" dxfId="1688" priority="547">
      <formula>IF($B37="Quoting",TRUE,FALSE)</formula>
    </cfRule>
    <cfRule type="expression" dxfId="1687" priority="548">
      <formula>IF($B37="Quoting",TRUE,FALSE)</formula>
    </cfRule>
    <cfRule type="expression" dxfId="1686" priority="549">
      <formula>IF($B37="Quoting",TRUE,FALSE)</formula>
    </cfRule>
    <cfRule type="expression" dxfId="1685" priority="550">
      <formula>IF($B37="Quoting",TRUE,FALSE)</formula>
    </cfRule>
    <cfRule type="expression" dxfId="1684" priority="551">
      <formula>IF($B37="Quoting",TRUE,FALSE)</formula>
    </cfRule>
    <cfRule type="expression" dxfId="1683" priority="552">
      <formula>IF($B37="Quoting",TRUE,FALSE)</formula>
    </cfRule>
    <cfRule type="expression" dxfId="1682" priority="553">
      <formula>IF($B37="Quoting",TRUE,FALSE)</formula>
    </cfRule>
    <cfRule type="expression" dxfId="1681" priority="554">
      <formula>IF($B37="Quoting",TRUE,FALSE)</formula>
    </cfRule>
    <cfRule type="expression" dxfId="1680" priority="555">
      <formula>IF($B37="Quoting",TRUE,FALSE)</formula>
    </cfRule>
    <cfRule type="expression" dxfId="1679" priority="556">
      <formula>IF($B37="Quoting",TRUE,FALSE)</formula>
    </cfRule>
    <cfRule type="expression" dxfId="1678" priority="557">
      <formula>IF($B37="Quoting",TRUE,FALSE)</formula>
    </cfRule>
    <cfRule type="expression" dxfId="1677" priority="558">
      <formula>IF($B37="Quoting",TRUE,FALSE)</formula>
    </cfRule>
    <cfRule type="expression" dxfId="1676" priority="559">
      <formula>IF($B37="Quoting",TRUE,FALSE)</formula>
    </cfRule>
    <cfRule type="expression" dxfId="1675" priority="560">
      <formula>IF($B37="Quoting",TRUE,FALSE)</formula>
    </cfRule>
    <cfRule type="expression" dxfId="1674" priority="561">
      <formula>IF($B37="Quoting",TRUE,FALSE)</formula>
    </cfRule>
    <cfRule type="expression" dxfId="1673" priority="562">
      <formula>IF($B37="Quoting",TRUE,FALSE)</formula>
    </cfRule>
    <cfRule type="expression" dxfId="1672" priority="563">
      <formula>IF($B37="Quoting",TRUE,FALSE)</formula>
    </cfRule>
    <cfRule type="expression" dxfId="1671" priority="564">
      <formula>IF($B37="Quoting",TRUE,FALSE)</formula>
    </cfRule>
    <cfRule type="expression" dxfId="1670" priority="565">
      <formula>IF($B37="Quoting",TRUE,FALSE)</formula>
    </cfRule>
    <cfRule type="expression" dxfId="1669" priority="566">
      <formula>IF($B37="Quoting",TRUE,FALSE)</formula>
    </cfRule>
    <cfRule type="expression" dxfId="1668" priority="567">
      <formula>IF($B37="Quoting",TRUE,FALSE)</formula>
    </cfRule>
    <cfRule type="expression" dxfId="1667" priority="568">
      <formula>IF($B37="Quoting",TRUE,FALSE)</formula>
    </cfRule>
    <cfRule type="expression" dxfId="1666" priority="569">
      <formula>IF($B37="Quoting",TRUE,FALSE)</formula>
    </cfRule>
    <cfRule type="expression" dxfId="1665" priority="570">
      <formula>IF($B37="Quoting",TRUE,FALSE)</formula>
    </cfRule>
    <cfRule type="expression" dxfId="1664" priority="571">
      <formula>IF($B37="Quoting",TRUE,FALSE)</formula>
    </cfRule>
    <cfRule type="expression" dxfId="1663" priority="572">
      <formula>IF($B37="Quoting",TRUE,FALSE)</formula>
    </cfRule>
    <cfRule type="expression" dxfId="1662" priority="573">
      <formula>IF($B37="Quoting",TRUE,FALSE)</formula>
    </cfRule>
    <cfRule type="expression" dxfId="1661" priority="574">
      <formula>IF($B37="Quoting",TRUE,FALSE)</formula>
    </cfRule>
    <cfRule type="expression" dxfId="1660" priority="575">
      <formula>IF($B37="Quoting",TRUE,FALSE)</formula>
    </cfRule>
    <cfRule type="expression" dxfId="1659" priority="576">
      <formula>IF($B37="Quoting",TRUE,FALSE)</formula>
    </cfRule>
    <cfRule type="expression" dxfId="1658" priority="577">
      <formula>IF($B37="Quoting",TRUE,FALSE)</formula>
    </cfRule>
    <cfRule type="expression" dxfId="1657" priority="578">
      <formula>IF($B37="Quoting",TRUE,FALSE)</formula>
    </cfRule>
    <cfRule type="expression" dxfId="1656" priority="579">
      <formula>IF($B37="Quoting",TRUE,FALSE)</formula>
    </cfRule>
    <cfRule type="expression" dxfId="1655" priority="580">
      <formula>IF($B37="Quoting",TRUE,FALSE)</formula>
    </cfRule>
    <cfRule type="expression" dxfId="1654" priority="581">
      <formula>IF($B37="Quoting",TRUE,FALSE)</formula>
    </cfRule>
    <cfRule type="expression" dxfId="1653" priority="582">
      <formula>IF($B37="Quoting",TRUE,FALSE)</formula>
    </cfRule>
    <cfRule type="expression" dxfId="1652" priority="583">
      <formula>IF($B37="Quoting",TRUE,FALSE)</formula>
    </cfRule>
    <cfRule type="expression" dxfId="1651" priority="584">
      <formula>IF($B37="Quoting",TRUE,FALSE)</formula>
    </cfRule>
    <cfRule type="expression" dxfId="1650" priority="585">
      <formula>IF($B37="Quoting",TRUE,FALSE)</formula>
    </cfRule>
    <cfRule type="expression" dxfId="1649" priority="586">
      <formula>IF($B37="Quoting",TRUE,FALSE)</formula>
    </cfRule>
    <cfRule type="expression" dxfId="1648" priority="587">
      <formula>IF($B37="Quoting",TRUE,FALSE)</formula>
    </cfRule>
    <cfRule type="expression" dxfId="1647" priority="588">
      <formula>IF($B37="Quoting",TRUE,FALSE)</formula>
    </cfRule>
    <cfRule type="expression" dxfId="1646" priority="589">
      <formula>IF($B37="Quoting",TRUE,FALSE)</formula>
    </cfRule>
    <cfRule type="expression" dxfId="1645" priority="590">
      <formula>IF($B37="Quoting",TRUE,FALSE)</formula>
    </cfRule>
    <cfRule type="expression" dxfId="1644" priority="591">
      <formula>IF($B37="Quoting",TRUE,FALSE)</formula>
    </cfRule>
    <cfRule type="expression" dxfId="1643" priority="592">
      <formula>IF($B37="Quoting",TRUE,FALSE)</formula>
    </cfRule>
    <cfRule type="expression" dxfId="1642" priority="593">
      <formula>IF($B37="Quoting",TRUE,FALSE)</formula>
    </cfRule>
    <cfRule type="expression" dxfId="1641" priority="594">
      <formula>IF($B37="Quoting",TRUE,FALSE)</formula>
    </cfRule>
    <cfRule type="expression" dxfId="1640" priority="595">
      <formula>IF($B37="Quoting",TRUE,FALSE)</formula>
    </cfRule>
    <cfRule type="expression" dxfId="1639" priority="596">
      <formula>IF($B37="Quoting",TRUE,FALSE)</formula>
    </cfRule>
    <cfRule type="expression" dxfId="1638" priority="597">
      <formula>IF($B37="Quoting",TRUE,FALSE)</formula>
    </cfRule>
    <cfRule type="expression" dxfId="1637" priority="598">
      <formula>IF($B37="Quoting",TRUE,FALSE)</formula>
    </cfRule>
    <cfRule type="expression" dxfId="1636" priority="599">
      <formula>IF($B37="Quoting",TRUE,FALSE)</formula>
    </cfRule>
    <cfRule type="expression" dxfId="1635" priority="600">
      <formula>IF($B37="Quoting",TRUE,FALSE)</formula>
    </cfRule>
    <cfRule type="expression" dxfId="1634" priority="601">
      <formula>IF($B37="Quoting",TRUE,FALSE)</formula>
    </cfRule>
    <cfRule type="expression" dxfId="1633" priority="602">
      <formula>IF($B37="Quoting",TRUE,FALSE)</formula>
    </cfRule>
    <cfRule type="expression" dxfId="1632" priority="603">
      <formula>IF($B37="Quoting",TRUE,FALSE)</formula>
    </cfRule>
    <cfRule type="expression" dxfId="1631" priority="604">
      <formula>IF($B37="Quoting",TRUE,FALSE)</formula>
    </cfRule>
    <cfRule type="expression" dxfId="1630" priority="605">
      <formula>IF($B37="Quoting",TRUE,FALSE)</formula>
    </cfRule>
    <cfRule type="expression" dxfId="1629" priority="606">
      <formula>IF($B37="Quoting",TRUE,FALSE)</formula>
    </cfRule>
    <cfRule type="expression" dxfId="1628" priority="607">
      <formula>IF($B37="Quoting",TRUE,FALSE)</formula>
    </cfRule>
    <cfRule type="expression" dxfId="1627" priority="608">
      <formula>IF($B37="Quoting",TRUE,FALSE)</formula>
    </cfRule>
    <cfRule type="expression" dxfId="1626" priority="609">
      <formula>IF($B37="Quoting",TRUE,FALSE)</formula>
    </cfRule>
    <cfRule type="expression" dxfId="1625" priority="610">
      <formula>IF($B37="Quoting",TRUE,FALSE)</formula>
    </cfRule>
    <cfRule type="expression" dxfId="1624" priority="611">
      <formula>IF($B37="Quoting",TRUE,FALSE)</formula>
    </cfRule>
    <cfRule type="expression" dxfId="1623" priority="612">
      <formula>IF($B37="Quoting",TRUE,FALSE)</formula>
    </cfRule>
    <cfRule type="expression" dxfId="1622" priority="613">
      <formula>IF($B37="Quoting",TRUE,FALSE)</formula>
    </cfRule>
    <cfRule type="expression" dxfId="1621" priority="614">
      <formula>IF($B37="Quoting",TRUE,FALSE)</formula>
    </cfRule>
    <cfRule type="expression" dxfId="1620" priority="615">
      <formula>IF($B37="Quoting",TRUE,FALSE)</formula>
    </cfRule>
    <cfRule type="expression" dxfId="1619" priority="616">
      <formula>IF($B37="Quoting",TRUE,FALSE)</formula>
    </cfRule>
    <cfRule type="expression" dxfId="1618" priority="617">
      <formula>IF($B37="Quoting",TRUE,FALSE)</formula>
    </cfRule>
    <cfRule type="expression" dxfId="1617" priority="618">
      <formula>IF($B37="Quoting",TRUE,FALSE)</formula>
    </cfRule>
    <cfRule type="expression" dxfId="1616" priority="619">
      <formula>IF($B37="Quoting",TRUE,FALSE)</formula>
    </cfRule>
    <cfRule type="expression" dxfId="1615" priority="620">
      <formula>IF($B37="Quoting",TRUE,FALSE)</formula>
    </cfRule>
    <cfRule type="expression" dxfId="1614" priority="621">
      <formula>IF($B37="Quoting",TRUE,FALSE)</formula>
    </cfRule>
    <cfRule type="expression" dxfId="1613" priority="622">
      <formula>IF($B37="Quoting",TRUE,FALSE)</formula>
    </cfRule>
    <cfRule type="expression" dxfId="1612" priority="623">
      <formula>IF($B37="Quoting",TRUE,FALSE)</formula>
    </cfRule>
    <cfRule type="expression" dxfId="1611" priority="624">
      <formula>IF($B37="Quoting",TRUE,FALSE)</formula>
    </cfRule>
    <cfRule type="expression" dxfId="1610" priority="625">
      <formula>IF($B37="Quoting",TRUE,FALSE)</formula>
    </cfRule>
    <cfRule type="expression" dxfId="1609" priority="626">
      <formula>IF($B37="Quoting",TRUE,FALSE)</formula>
    </cfRule>
    <cfRule type="expression" dxfId="1608" priority="627">
      <formula>IF($B37="Quoting",TRUE,FALSE)</formula>
    </cfRule>
    <cfRule type="expression" dxfId="1607" priority="628">
      <formula>IF($B37="Quoting",TRUE,FALSE)</formula>
    </cfRule>
    <cfRule type="expression" dxfId="1606" priority="629">
      <formula>IF($B37="Quoting",TRUE,FALSE)</formula>
    </cfRule>
    <cfRule type="expression" dxfId="1605" priority="630">
      <formula>IF($B37="Quoting",TRUE,FALSE)</formula>
    </cfRule>
    <cfRule type="expression" dxfId="1604" priority="631">
      <formula>IF($B37="Quoting",TRUE,FALSE)</formula>
    </cfRule>
    <cfRule type="expression" dxfId="1603" priority="632">
      <formula>IF($B37="Quoting",TRUE,FALSE)</formula>
    </cfRule>
    <cfRule type="expression" dxfId="1602" priority="633">
      <formula>IF($B37="Quoting",TRUE,FALSE)</formula>
    </cfRule>
    <cfRule type="expression" dxfId="1601" priority="634">
      <formula>IF($B37="Quoting",TRUE,FALSE)</formula>
    </cfRule>
    <cfRule type="expression" dxfId="1600" priority="635">
      <formula>IF($B37="Quoting",TRUE,FALSE)</formula>
    </cfRule>
    <cfRule type="expression" dxfId="1599" priority="636">
      <formula>IF($B37="Quoting",TRUE,FALSE)</formula>
    </cfRule>
    <cfRule type="expression" dxfId="1598" priority="637">
      <formula>IF($B37="Quoting",TRUE,FALSE)</formula>
    </cfRule>
    <cfRule type="expression" dxfId="1597" priority="638">
      <formula>IF($B37="Quoting",TRUE,FALSE)</formula>
    </cfRule>
    <cfRule type="expression" dxfId="1596" priority="639">
      <formula>IF($B37="Quoting",TRUE,FALSE)</formula>
    </cfRule>
    <cfRule type="expression" dxfId="1595" priority="640">
      <formula>IF($B37="Quoting",TRUE,FALSE)</formula>
    </cfRule>
    <cfRule type="expression" dxfId="1594" priority="641">
      <formula>IF($B37="Quoting",TRUE,FALSE)</formula>
    </cfRule>
    <cfRule type="expression" dxfId="1593" priority="642">
      <formula>IF($B37="Quoting",TRUE,FALSE)</formula>
    </cfRule>
    <cfRule type="expression" dxfId="1592" priority="643">
      <formula>IF($B37="Quoting",TRUE,FALSE)</formula>
    </cfRule>
    <cfRule type="expression" dxfId="1591" priority="644">
      <formula>IF($B37="Quoting",TRUE,FALSE)</formula>
    </cfRule>
    <cfRule type="expression" dxfId="1590" priority="645">
      <formula>IF($B37="Quoting",TRUE,FALSE)</formula>
    </cfRule>
    <cfRule type="expression" dxfId="1589" priority="646">
      <formula>IF($B37="Quoting",TRUE,FALSE)</formula>
    </cfRule>
    <cfRule type="expression" dxfId="1588" priority="647">
      <formula>IF($B37="Quoting",TRUE,FALSE)</formula>
    </cfRule>
    <cfRule type="expression" dxfId="1587" priority="648">
      <formula>IF($B37="Quoting",TRUE,FALSE)</formula>
    </cfRule>
    <cfRule type="expression" dxfId="1586" priority="649">
      <formula>IF($B37="Quoting",TRUE,FALSE)</formula>
    </cfRule>
    <cfRule type="expression" dxfId="1585" priority="650">
      <formula>IF($B37="Quoting",TRUE,FALSE)</formula>
    </cfRule>
    <cfRule type="expression" dxfId="1584" priority="651">
      <formula>IF($B37="Quoting",TRUE,FALSE)</formula>
    </cfRule>
    <cfRule type="expression" dxfId="1583" priority="652">
      <formula>IF($B37="Quoting",TRUE,FALSE)</formula>
    </cfRule>
    <cfRule type="expression" dxfId="1582" priority="653">
      <formula>IF($B37="Quoting",TRUE,FALSE)</formula>
    </cfRule>
    <cfRule type="expression" dxfId="1581" priority="654">
      <formula>IF($B37="Quoting",TRUE,FALSE)</formula>
    </cfRule>
    <cfRule type="expression" dxfId="1580" priority="655">
      <formula>IF($B37="Quoting",TRUE,FALSE)</formula>
    </cfRule>
    <cfRule type="expression" dxfId="1579" priority="656">
      <formula>IF($B37="Quoting",TRUE,FALSE)</formula>
    </cfRule>
    <cfRule type="expression" dxfId="1578" priority="657">
      <formula>IF($B37="Quoting",TRUE,FALSE)</formula>
    </cfRule>
    <cfRule type="expression" dxfId="1577" priority="658">
      <formula>IF($B37="Quoting",TRUE,FALSE)</formula>
    </cfRule>
    <cfRule type="expression" dxfId="1576" priority="659">
      <formula>IF($B37="Quoting",TRUE,FALSE)</formula>
    </cfRule>
    <cfRule type="expression" dxfId="1575" priority="660">
      <formula>IF($B37="Quoting",TRUE,FALSE)</formula>
    </cfRule>
    <cfRule type="expression" dxfId="1574" priority="661">
      <formula>IF($B37="Quoting",TRUE,FALSE)</formula>
    </cfRule>
    <cfRule type="expression" dxfId="1573" priority="662">
      <formula>IF($B37="Quoting",TRUE,FALSE)</formula>
    </cfRule>
    <cfRule type="expression" dxfId="1572" priority="663">
      <formula>IF($B37="Quoting",TRUE,FALSE)</formula>
    </cfRule>
    <cfRule type="expression" dxfId="1571" priority="664">
      <formula>IF($B37="Quoting",TRUE,FALSE)</formula>
    </cfRule>
    <cfRule type="expression" dxfId="1570" priority="665">
      <formula>IF($B37="Quoting",TRUE,FALSE)</formula>
    </cfRule>
    <cfRule type="expression" dxfId="1569" priority="666">
      <formula>IF($B37="Quoting",TRUE,FALSE)</formula>
    </cfRule>
    <cfRule type="expression" dxfId="1568" priority="667">
      <formula>IF($B37="Quoting",TRUE,FALSE)</formula>
    </cfRule>
    <cfRule type="expression" dxfId="1567" priority="668">
      <formula>IF($B37="Quoting",TRUE,FALSE)</formula>
    </cfRule>
    <cfRule type="expression" dxfId="1566" priority="669">
      <formula>IF($B37="Quoting",TRUE,FALSE)</formula>
    </cfRule>
    <cfRule type="expression" dxfId="1565" priority="670">
      <formula>IF($B37="Quoting",TRUE,FALSE)</formula>
    </cfRule>
    <cfRule type="expression" dxfId="1564" priority="671">
      <formula>IF($B37="Quoting",TRUE,FALSE)</formula>
    </cfRule>
    <cfRule type="expression" dxfId="1563" priority="672">
      <formula>IF($B37="Quoting",TRUE,FALSE)</formula>
    </cfRule>
    <cfRule type="expression" dxfId="1562" priority="673">
      <formula>IF($B37="Quoting",TRUE,FALSE)</formula>
    </cfRule>
    <cfRule type="expression" dxfId="1561" priority="674">
      <formula>IF($B37="Quoting",TRUE,FALSE)</formula>
    </cfRule>
    <cfRule type="expression" dxfId="1560" priority="675">
      <formula>IF($B37="Quoting",TRUE,FALSE)</formula>
    </cfRule>
    <cfRule type="expression" dxfId="1559" priority="676">
      <formula>IF($B37="Quoting",TRUE,FALSE)</formula>
    </cfRule>
    <cfRule type="expression" dxfId="1558" priority="677">
      <formula>IF($B37="Quoting",TRUE,FALSE)</formula>
    </cfRule>
    <cfRule type="expression" dxfId="1557" priority="678">
      <formula>IF($B37="Quoting",TRUE,FALSE)</formula>
    </cfRule>
    <cfRule type="expression" dxfId="1556" priority="679">
      <formula>IF($B37="Quoting",TRUE,FALSE)</formula>
    </cfRule>
    <cfRule type="expression" dxfId="1555" priority="680">
      <formula>IF($B37="Quoting",TRUE,FALSE)</formula>
    </cfRule>
    <cfRule type="expression" dxfId="1554" priority="681">
      <formula>IF($B37="Quoting",TRUE,FALSE)</formula>
    </cfRule>
    <cfRule type="expression" dxfId="1553" priority="682">
      <formula>IF($B37="Quoting",TRUE,FALSE)</formula>
    </cfRule>
    <cfRule type="expression" dxfId="1552" priority="683">
      <formula>IF($B37="Quoting",TRUE,FALSE)</formula>
    </cfRule>
    <cfRule type="expression" dxfId="1551" priority="684">
      <formula>IF($B37="Quoting",TRUE,FALSE)</formula>
    </cfRule>
    <cfRule type="expression" dxfId="1550" priority="685">
      <formula>IF($B37="Quoting",TRUE,FALSE)</formula>
    </cfRule>
    <cfRule type="expression" dxfId="1549" priority="686">
      <formula>IF($B37="Quoting",TRUE,FALSE)</formula>
    </cfRule>
    <cfRule type="expression" dxfId="1548" priority="687">
      <formula>IF($B37="Quoting",TRUE,FALSE)</formula>
    </cfRule>
    <cfRule type="expression" dxfId="1547" priority="688">
      <formula>IF($B37="Quoting",TRUE,FALSE)</formula>
    </cfRule>
    <cfRule type="expression" dxfId="1546" priority="689">
      <formula>IF($B37="Quoting",TRUE,FALSE)</formula>
    </cfRule>
    <cfRule type="expression" dxfId="1545" priority="690">
      <formula>IF($B37="Quoting",TRUE,FALSE)</formula>
    </cfRule>
    <cfRule type="expression" dxfId="1544" priority="691">
      <formula>IF($B37="Quoting",TRUE,FALSE)</formula>
    </cfRule>
    <cfRule type="expression" dxfId="1543" priority="692">
      <formula>IF($B37="Quoting",TRUE,FALSE)</formula>
    </cfRule>
    <cfRule type="expression" dxfId="1542" priority="693">
      <formula>IF($B37="Quoting",TRUE,FALSE)</formula>
    </cfRule>
    <cfRule type="expression" dxfId="1541" priority="694">
      <formula>IF($B37="Quoting",TRUE,FALSE)</formula>
    </cfRule>
    <cfRule type="expression" dxfId="1540" priority="695">
      <formula>IF($B37="Quoting",TRUE,FALSE)</formula>
    </cfRule>
    <cfRule type="expression" dxfId="1539" priority="696">
      <formula>IF($B37="Quoting",TRUE,FALSE)</formula>
    </cfRule>
    <cfRule type="expression" dxfId="1538" priority="697">
      <formula>IF($B37="Quoting",TRUE,FALSE)</formula>
    </cfRule>
    <cfRule type="expression" dxfId="1537" priority="698">
      <formula>IF($B37="Quoting",TRUE,FALSE)</formula>
    </cfRule>
    <cfRule type="expression" dxfId="1536" priority="699">
      <formula>IF($B37="Quoting",TRUE,FALSE)</formula>
    </cfRule>
    <cfRule type="expression" dxfId="1535" priority="700">
      <formula>IF($B37="Quoting",TRUE,FALSE)</formula>
    </cfRule>
    <cfRule type="expression" dxfId="1534" priority="701">
      <formula>IF($B37="Quoting",TRUE,FALSE)</formula>
    </cfRule>
    <cfRule type="expression" dxfId="1533" priority="702">
      <formula>IF($B37="Quoting",TRUE,FALSE)</formula>
    </cfRule>
    <cfRule type="expression" dxfId="1532" priority="703">
      <formula>IF($B37="Quoting",TRUE,FALSE)</formula>
    </cfRule>
    <cfRule type="expression" dxfId="1531" priority="704">
      <formula>IF($B37="Quoting",TRUE,FALSE)</formula>
    </cfRule>
    <cfRule type="expression" dxfId="1530" priority="705">
      <formula>IF($B37="Quoting",TRUE,FALSE)</formula>
    </cfRule>
    <cfRule type="expression" dxfId="1529" priority="706">
      <formula>IF($B37="Quoting",TRUE,FALSE)</formula>
    </cfRule>
    <cfRule type="expression" dxfId="1528" priority="707">
      <formula>IF($B37="Quoting",TRUE,FALSE)</formula>
    </cfRule>
    <cfRule type="expression" dxfId="1527" priority="708">
      <formula>IF($B37="Quoting",TRUE,FALSE)</formula>
    </cfRule>
    <cfRule type="expression" dxfId="1526" priority="709">
      <formula>IF($B37="Quoting",TRUE,FALSE)</formula>
    </cfRule>
    <cfRule type="expression" dxfId="1525" priority="710">
      <formula>IF($B37="Quoting",TRUE,FALSE)</formula>
    </cfRule>
    <cfRule type="expression" dxfId="1524" priority="711">
      <formula>IF($B37="Quoting",TRUE,FALSE)</formula>
    </cfRule>
    <cfRule type="expression" dxfId="1523" priority="712">
      <formula>IF($B37="Quoting",TRUE,FALSE)</formula>
    </cfRule>
    <cfRule type="expression" dxfId="1522" priority="713">
      <formula>IF($B37="Quoting",TRUE,FALSE)</formula>
    </cfRule>
    <cfRule type="expression" dxfId="1521" priority="714">
      <formula>IF($B37="Quoting",TRUE,FALSE)</formula>
    </cfRule>
    <cfRule type="expression" dxfId="1520" priority="715">
      <formula>IF($B37="Quoting",TRUE,FALSE)</formula>
    </cfRule>
    <cfRule type="expression" dxfId="1519" priority="716">
      <formula>IF($B37="Quoting",TRUE,FALSE)</formula>
    </cfRule>
    <cfRule type="expression" dxfId="1518" priority="717">
      <formula>IF($B37="Quoting",TRUE,FALSE)</formula>
    </cfRule>
    <cfRule type="expression" dxfId="1517" priority="718">
      <formula>IF($B37="Quoting",TRUE,FALSE)</formula>
    </cfRule>
    <cfRule type="expression" dxfId="1516" priority="719">
      <formula>IF($B37="Quoting",TRUE,FALSE)</formula>
    </cfRule>
    <cfRule type="expression" dxfId="1515" priority="720">
      <formula>IF($B37="Quoting",TRUE,FALSE)</formula>
    </cfRule>
    <cfRule type="expression" dxfId="1514" priority="721">
      <formula>IF($B37="Quoting",TRUE,FALSE)</formula>
    </cfRule>
    <cfRule type="expression" dxfId="1513" priority="722">
      <formula>IF($B37="Quoting",TRUE,FALSE)</formula>
    </cfRule>
    <cfRule type="expression" dxfId="1512" priority="723">
      <formula>IF($B37="Quoting",TRUE,FALSE)</formula>
    </cfRule>
    <cfRule type="expression" dxfId="1511" priority="724">
      <formula>IF($B37="Quoting",TRUE,FALSE)</formula>
    </cfRule>
    <cfRule type="expression" dxfId="1510" priority="725">
      <formula>IF($B37="Quoting",TRUE,FALSE)</formula>
    </cfRule>
    <cfRule type="expression" dxfId="1509" priority="726">
      <formula>IF($B37="Quoting",TRUE,FALSE)</formula>
    </cfRule>
    <cfRule type="expression" dxfId="1508" priority="727">
      <formula>IF($B37="Quoting",TRUE,FALSE)</formula>
    </cfRule>
    <cfRule type="expression" dxfId="1507" priority="728">
      <formula>IF($B37="Quoting",TRUE,FALSE)</formula>
    </cfRule>
    <cfRule type="expression" dxfId="1506" priority="729">
      <formula>IF($B37="Quoting",TRUE,FALSE)</formula>
    </cfRule>
    <cfRule type="expression" dxfId="1505" priority="730">
      <formula>IF($B37="Quoting",TRUE,FALSE)</formula>
    </cfRule>
    <cfRule type="expression" dxfId="1504" priority="731">
      <formula>IF($B37="Quoting",TRUE,FALSE)</formula>
    </cfRule>
    <cfRule type="expression" dxfId="1503" priority="732">
      <formula>IF($B37="Quoting",TRUE,FALSE)</formula>
    </cfRule>
    <cfRule type="expression" dxfId="1502" priority="733">
      <formula>IF($B37="Quoting",TRUE,FALSE)</formula>
    </cfRule>
    <cfRule type="expression" dxfId="1501" priority="734">
      <formula>IF($B37="Quoting",TRUE,FALSE)</formula>
    </cfRule>
    <cfRule type="expression" dxfId="1500" priority="735">
      <formula>IF($B37="Quoting",TRUE,FALSE)</formula>
    </cfRule>
    <cfRule type="expression" dxfId="1499" priority="736">
      <formula>IF($B37="Quoting",TRUE,FALSE)</formula>
    </cfRule>
    <cfRule type="expression" dxfId="1498" priority="737">
      <formula>IF($B37="Quoting",TRUE,FALSE)</formula>
    </cfRule>
    <cfRule type="expression" dxfId="1497" priority="738">
      <formula>IF($B37="Quoting",TRUE,FALSE)</formula>
    </cfRule>
    <cfRule type="expression" dxfId="1496" priority="739">
      <formula>IF($B37="Quoting",TRUE,FALSE)</formula>
    </cfRule>
    <cfRule type="expression" dxfId="1495" priority="740">
      <formula>IF($B37="Quoting",TRUE,FALSE)</formula>
    </cfRule>
    <cfRule type="expression" dxfId="1494" priority="741">
      <formula>IF($B37="Quoting",TRUE,FALSE)</formula>
    </cfRule>
    <cfRule type="expression" dxfId="1493" priority="742">
      <formula>IF($B37="Quoting",TRUE,FALSE)</formula>
    </cfRule>
    <cfRule type="expression" dxfId="1492" priority="743">
      <formula>IF($B37="Quoting",TRUE,FALSE)</formula>
    </cfRule>
    <cfRule type="expression" dxfId="1491" priority="744">
      <formula>IF($B37="Quoting",TRUE,FALSE)</formula>
    </cfRule>
    <cfRule type="expression" dxfId="1490" priority="745">
      <formula>IF($B37="Quoting",TRUE,FALSE)</formula>
    </cfRule>
    <cfRule type="expression" dxfId="1489" priority="746">
      <formula>IF($B37="Quoting",TRUE,FALSE)</formula>
    </cfRule>
    <cfRule type="expression" dxfId="1488" priority="747">
      <formula>IF($B37="Quoting",TRUE,FALSE)</formula>
    </cfRule>
    <cfRule type="expression" dxfId="1487" priority="748">
      <formula>IF($B37="Quoting",TRUE,FALSE)</formula>
    </cfRule>
    <cfRule type="expression" dxfId="1486" priority="749">
      <formula>IF($B37="Quoting",TRUE,FALSE)</formula>
    </cfRule>
    <cfRule type="expression" dxfId="1485" priority="750">
      <formula>IF($B37="Quoting",TRUE,FALSE)</formula>
    </cfRule>
    <cfRule type="expression" dxfId="1484" priority="751">
      <formula>IF($B37="Quoting",TRUE,FALSE)</formula>
    </cfRule>
    <cfRule type="expression" dxfId="1483" priority="752">
      <formula>IF($B37="Quoting",TRUE,FALSE)</formula>
    </cfRule>
    <cfRule type="expression" dxfId="1482" priority="753">
      <formula>IF($B37="Quoting",TRUE,FALSE)</formula>
    </cfRule>
    <cfRule type="expression" dxfId="1481" priority="754">
      <formula>IF($B37="Quoting",TRUE,FALSE)</formula>
    </cfRule>
    <cfRule type="expression" dxfId="1480" priority="755">
      <formula>IF($B37="Quoting",TRUE,FALSE)</formula>
    </cfRule>
    <cfRule type="expression" dxfId="1479" priority="756">
      <formula>IF($B37="Quoting",TRUE,FALSE)</formula>
    </cfRule>
    <cfRule type="expression" dxfId="1478" priority="757">
      <formula>IF($B37="Quoting",TRUE,FALSE)</formula>
    </cfRule>
    <cfRule type="expression" dxfId="1477" priority="758">
      <formula>IF($B37="Quoting",TRUE,FALSE)</formula>
    </cfRule>
    <cfRule type="expression" dxfId="1476" priority="759">
      <formula>IF($B37="Quoting",TRUE,FALSE)</formula>
    </cfRule>
    <cfRule type="expression" dxfId="1475" priority="760">
      <formula>IF($B37="Quoting",TRUE,FALSE)</formula>
    </cfRule>
    <cfRule type="expression" dxfId="1474" priority="761">
      <formula>IF($B37="Quoting",TRUE,FALSE)</formula>
    </cfRule>
    <cfRule type="expression" dxfId="1473" priority="762">
      <formula>IF($B37="Quoting",TRUE,FALSE)</formula>
    </cfRule>
    <cfRule type="expression" dxfId="1472" priority="763">
      <formula>IF($B37="Quoting",TRUE,FALSE)</formula>
    </cfRule>
    <cfRule type="expression" dxfId="1471" priority="764">
      <formula>IF($B37="Quoting",TRUE,FALSE)</formula>
    </cfRule>
    <cfRule type="expression" dxfId="1470" priority="765">
      <formula>IF($B37="Quoting",TRUE,FALSE)</formula>
    </cfRule>
    <cfRule type="expression" dxfId="1469" priority="766">
      <formula>IF($B37="Quoting",TRUE,FALSE)</formula>
    </cfRule>
    <cfRule type="expression" dxfId="1468" priority="767">
      <formula>IF($B37="Quoting",TRUE,FALSE)</formula>
    </cfRule>
    <cfRule type="expression" dxfId="1467" priority="768">
      <formula>IF($B37="Quoting",TRUE,FALSE)</formula>
    </cfRule>
    <cfRule type="expression" dxfId="1466" priority="769">
      <formula>IF($B37="Quoting",TRUE,FALSE)</formula>
    </cfRule>
    <cfRule type="expression" dxfId="1465" priority="770">
      <formula>IF($B37="Quoting",TRUE,FALSE)</formula>
    </cfRule>
    <cfRule type="expression" dxfId="1464" priority="771">
      <formula>IF($B37="Quoting",TRUE,FALSE)</formula>
    </cfRule>
    <cfRule type="expression" dxfId="1463" priority="772">
      <formula>IF($B37="Quoting",TRUE,FALSE)</formula>
    </cfRule>
    <cfRule type="expression" dxfId="1462" priority="773">
      <formula>IF($B37="Quoting",TRUE,FALSE)</formula>
    </cfRule>
    <cfRule type="expression" dxfId="1461" priority="774">
      <formula>IF($B37="Quoting",TRUE,FALSE)</formula>
    </cfRule>
    <cfRule type="expression" dxfId="1460" priority="775">
      <formula>IF($B37="Quoting",TRUE,FALSE)</formula>
    </cfRule>
    <cfRule type="expression" dxfId="1459" priority="776">
      <formula>IF($B37="Quoting",TRUE,FALSE)</formula>
    </cfRule>
    <cfRule type="expression" dxfId="1458" priority="777">
      <formula>IF($B37="Quoting",TRUE,FALSE)</formula>
    </cfRule>
    <cfRule type="expression" dxfId="1457" priority="778">
      <formula>IF($B37="Quoting",TRUE,FALSE)</formula>
    </cfRule>
    <cfRule type="expression" dxfId="1456" priority="779">
      <formula>IF($B37="Quoting",TRUE,FALSE)</formula>
    </cfRule>
    <cfRule type="expression" dxfId="1455" priority="780">
      <formula>IF($B37="Quoting",TRUE,FALSE)</formula>
    </cfRule>
    <cfRule type="expression" dxfId="1454" priority="781">
      <formula>IF($B37="Quoting",TRUE,FALSE)</formula>
    </cfRule>
    <cfRule type="expression" dxfId="1453" priority="782">
      <formula>IF($B37="Quoting",TRUE,FALSE)</formula>
    </cfRule>
    <cfRule type="expression" dxfId="1452" priority="783">
      <formula>IF($B37="Quoting",TRUE,FALSE)</formula>
    </cfRule>
    <cfRule type="expression" dxfId="1451" priority="784">
      <formula>IF($B37="Quoting",TRUE,FALSE)</formula>
    </cfRule>
    <cfRule type="expression" dxfId="1450" priority="785">
      <formula>IF($B37="Quoting",TRUE,FALSE)</formula>
    </cfRule>
    <cfRule type="expression" dxfId="1449" priority="786">
      <formula>IF($B37="Quoting",TRUE,FALSE)</formula>
    </cfRule>
    <cfRule type="expression" dxfId="1448" priority="787">
      <formula>IF($B37="Quoting",TRUE,FALSE)</formula>
    </cfRule>
    <cfRule type="expression" dxfId="1447" priority="788">
      <formula>IF($B37="Quoting",TRUE,FALSE)</formula>
    </cfRule>
    <cfRule type="expression" dxfId="1446" priority="789">
      <formula>IF($B37="Quoting",TRUE,FALSE)</formula>
    </cfRule>
    <cfRule type="expression" dxfId="1445" priority="790">
      <formula>IF($B37="Quoting",TRUE,FALSE)</formula>
    </cfRule>
    <cfRule type="expression" dxfId="1444" priority="791">
      <formula>IF($B37="Quoting",TRUE,FALSE)</formula>
    </cfRule>
    <cfRule type="expression" dxfId="1443" priority="792">
      <formula>IF($B37="Quoting",TRUE,FALSE)</formula>
    </cfRule>
    <cfRule type="expression" dxfId="1442" priority="793">
      <formula>IF($B37="Quoting",TRUE,FALSE)</formula>
    </cfRule>
    <cfRule type="expression" dxfId="1441" priority="794">
      <formula>IF($B37="Quoting",TRUE,FALSE)</formula>
    </cfRule>
    <cfRule type="expression" dxfId="1440" priority="795">
      <formula>IF($B37="Quoting",TRUE,FALSE)</formula>
    </cfRule>
    <cfRule type="expression" dxfId="1439" priority="796">
      <formula>IF($B37="Quoting",TRUE,FALSE)</formula>
    </cfRule>
    <cfRule type="expression" dxfId="1438" priority="797">
      <formula>IF($B37="Quoting",TRUE,FALSE)</formula>
    </cfRule>
    <cfRule type="expression" dxfId="1437" priority="798">
      <formula>IF($B37="Quoting",TRUE,FALSE)</formula>
    </cfRule>
    <cfRule type="expression" dxfId="1436" priority="799">
      <formula>IF($B37="Quoting",TRUE,FALSE)</formula>
    </cfRule>
    <cfRule type="expression" dxfId="1435" priority="800">
      <formula>IF($B37="Quoting",TRUE,FALSE)</formula>
    </cfRule>
    <cfRule type="expression" dxfId="1434" priority="801">
      <formula>IF($B37="Quoting",TRUE,FALSE)</formula>
    </cfRule>
    <cfRule type="expression" dxfId="1433" priority="802">
      <formula>IF($B37="Quoting",TRUE,FALSE)</formula>
    </cfRule>
    <cfRule type="expression" dxfId="1432" priority="803">
      <formula>IF($B37="Quoting",TRUE,FALSE)</formula>
    </cfRule>
    <cfRule type="expression" dxfId="1431" priority="804">
      <formula>IF($B37="Quoting",TRUE,FALSE)</formula>
    </cfRule>
    <cfRule type="expression" dxfId="1430" priority="805">
      <formula>IF($B37="Quoting",TRUE,FALSE)</formula>
    </cfRule>
    <cfRule type="expression" dxfId="1429" priority="806">
      <formula>IF($B37="Quoting",TRUE,FALSE)</formula>
    </cfRule>
    <cfRule type="expression" dxfId="1428" priority="807">
      <formula>IF($B37="Quoting",TRUE,FALSE)</formula>
    </cfRule>
    <cfRule type="expression" dxfId="1427" priority="808">
      <formula>IF($B37="Quoting",TRUE,FALSE)</formula>
    </cfRule>
    <cfRule type="expression" dxfId="1426" priority="809">
      <formula>IF($B37="Quoting",TRUE,FALSE)</formula>
    </cfRule>
    <cfRule type="expression" dxfId="1425" priority="810">
      <formula>IF($B37="Quoting",TRUE,FALSE)</formula>
    </cfRule>
    <cfRule type="expression" dxfId="1424" priority="811">
      <formula>IF($B37="Quoting",TRUE,FALSE)</formula>
    </cfRule>
    <cfRule type="expression" dxfId="1423" priority="812">
      <formula>IF($B37="Quoting",TRUE,FALSE)</formula>
    </cfRule>
    <cfRule type="expression" dxfId="1422" priority="813">
      <formula>IF($B37="Quoting",TRUE,FALSE)</formula>
    </cfRule>
    <cfRule type="expression" dxfId="1421" priority="814">
      <formula>IF($B37="Quoting",TRUE,FALSE)</formula>
    </cfRule>
    <cfRule type="expression" dxfId="1420" priority="815">
      <formula>IF($B37="Quoting",TRUE,FALSE)</formula>
    </cfRule>
    <cfRule type="expression" dxfId="1419" priority="816">
      <formula>IF($B37="Quoting",TRUE,FALSE)</formula>
    </cfRule>
    <cfRule type="expression" dxfId="1418" priority="817">
      <formula>IF($B37="Quoting",TRUE,FALSE)</formula>
    </cfRule>
    <cfRule type="expression" dxfId="1417" priority="818">
      <formula>IF($B37="Quoting",TRUE,FALSE)</formula>
    </cfRule>
    <cfRule type="expression" dxfId="1416" priority="819">
      <formula>IF($B37="Quoting",TRUE,FALSE)</formula>
    </cfRule>
    <cfRule type="expression" dxfId="1415" priority="820">
      <formula>IF($B37="Quoting",TRUE,FALSE)</formula>
    </cfRule>
    <cfRule type="expression" dxfId="1414" priority="821">
      <formula>IF($B37="Quoting",TRUE,FALSE)</formula>
    </cfRule>
    <cfRule type="expression" dxfId="1413" priority="822">
      <formula>IF($B37="Quoting",TRUE,FALSE)</formula>
    </cfRule>
    <cfRule type="expression" dxfId="1412" priority="823">
      <formula>IF($B37="Quoting",TRUE,FALSE)</formula>
    </cfRule>
    <cfRule type="expression" dxfId="1411" priority="824">
      <formula>IF($B37="Quoting",TRUE,FALSE)</formula>
    </cfRule>
    <cfRule type="expression" dxfId="1410" priority="825">
      <formula>IF($B37="Quoting",TRUE,FALSE)</formula>
    </cfRule>
    <cfRule type="expression" dxfId="1409" priority="826">
      <formula>IF($B37="Quoting",TRUE,FALSE)</formula>
    </cfRule>
    <cfRule type="expression" dxfId="1408" priority="827">
      <formula>IF($B37="Quoting",TRUE,FALSE)</formula>
    </cfRule>
    <cfRule type="expression" dxfId="1407" priority="828">
      <formula>IF($B37="Quoting",TRUE,FALSE)</formula>
    </cfRule>
    <cfRule type="expression" dxfId="1406" priority="829">
      <formula>IF($B37="Quoting",TRUE,FALSE)</formula>
    </cfRule>
    <cfRule type="expression" dxfId="1405" priority="830">
      <formula>IF($B37="Quoting",TRUE,FALSE)</formula>
    </cfRule>
    <cfRule type="expression" dxfId="1404" priority="831">
      <formula>IF($B37="Quoting",TRUE,FALSE)</formula>
    </cfRule>
    <cfRule type="expression" dxfId="1403" priority="832">
      <formula>IF($B37="Quoting",TRUE,FALSE)</formula>
    </cfRule>
    <cfRule type="expression" dxfId="1402" priority="833">
      <formula>IF($B37="Quoting",TRUE,FALSE)</formula>
    </cfRule>
    <cfRule type="expression" dxfId="1401" priority="834">
      <formula>IF($B37="Quoting",TRUE,FALSE)</formula>
    </cfRule>
    <cfRule type="expression" dxfId="1400" priority="835">
      <formula>IF($B37="Quoting",TRUE,FALSE)</formula>
    </cfRule>
    <cfRule type="expression" dxfId="1399" priority="836">
      <formula>IF($B37="Quoting",TRUE,FALSE)</formula>
    </cfRule>
    <cfRule type="expression" dxfId="1398" priority="837">
      <formula>IF($B37="Quoting",TRUE,FALSE)</formula>
    </cfRule>
    <cfRule type="expression" dxfId="1397" priority="838">
      <formula>IF($B37="Quoting",TRUE,FALSE)</formula>
    </cfRule>
    <cfRule type="expression" dxfId="1396" priority="839">
      <formula>IF($B37="Quoting",TRUE,FALSE)</formula>
    </cfRule>
    <cfRule type="expression" dxfId="1395" priority="840">
      <formula>IF($B37="Quoting",TRUE,FALSE)</formula>
    </cfRule>
    <cfRule type="expression" dxfId="1394" priority="841">
      <formula>IF($B37="Quoting",TRUE,FALSE)</formula>
    </cfRule>
    <cfRule type="expression" dxfId="1393" priority="842">
      <formula>IF($B37="Quoting",TRUE,FALSE)</formula>
    </cfRule>
    <cfRule type="expression" dxfId="1392" priority="843">
      <formula>IF($B37="Quoting",TRUE,FALSE)</formula>
    </cfRule>
    <cfRule type="expression" dxfId="1391" priority="844">
      <formula>IF($B37="Quoting",TRUE,FALSE)</formula>
    </cfRule>
    <cfRule type="expression" dxfId="1390" priority="845">
      <formula>IF($B37="Quoting",TRUE,FALSE)</formula>
    </cfRule>
    <cfRule type="expression" dxfId="1389" priority="846">
      <formula>IF($B37="Quoting",TRUE,FALSE)</formula>
    </cfRule>
    <cfRule type="expression" dxfId="1388" priority="847">
      <formula>IF($B37="Quoting",TRUE,FALSE)</formula>
    </cfRule>
    <cfRule type="expression" dxfId="1387" priority="848">
      <formula>IF($B37="Quoting",TRUE,FALSE)</formula>
    </cfRule>
    <cfRule type="expression" dxfId="1386" priority="849">
      <formula>IF($B37="Quoting",TRUE,FALSE)</formula>
    </cfRule>
    <cfRule type="expression" dxfId="1385" priority="850">
      <formula>IF($B37="Quoting",TRUE,FALSE)</formula>
    </cfRule>
    <cfRule type="expression" dxfId="1384" priority="851">
      <formula>IF($B37="Quoting",TRUE,FALSE)</formula>
    </cfRule>
    <cfRule type="expression" dxfId="1383" priority="852">
      <formula>IF($B37="Quoting",TRUE,FALSE)</formula>
    </cfRule>
    <cfRule type="expression" dxfId="1382" priority="853">
      <formula>IF($B37="Quoting",TRUE,FALSE)</formula>
    </cfRule>
    <cfRule type="expression" dxfId="1381" priority="854">
      <formula>IF($B37="Quoting",TRUE,FALSE)</formula>
    </cfRule>
    <cfRule type="expression" dxfId="1380" priority="855">
      <formula>IF($B37="Quoting",TRUE,FALSE)</formula>
    </cfRule>
    <cfRule type="expression" dxfId="1379" priority="856">
      <formula>IF($B37="Quoting",TRUE,FALSE)</formula>
    </cfRule>
    <cfRule type="expression" dxfId="1378" priority="857">
      <formula>IF($B37="Quoting",TRUE,FALSE)</formula>
    </cfRule>
    <cfRule type="expression" dxfId="1377" priority="858">
      <formula>IF($B37="Quoting",TRUE,FALSE)</formula>
    </cfRule>
    <cfRule type="expression" dxfId="1376" priority="859">
      <formula>IF($B37="Quoting",TRUE,FALSE)</formula>
    </cfRule>
    <cfRule type="expression" dxfId="1375" priority="860">
      <formula>IF($B37="Quoting",TRUE,FALSE)</formula>
    </cfRule>
    <cfRule type="expression" dxfId="1374" priority="861">
      <formula>IF($B37="Quoting",TRUE,FALSE)</formula>
    </cfRule>
    <cfRule type="expression" dxfId="1373" priority="862">
      <formula>IF($B37="Quoting",TRUE,FALSE)</formula>
    </cfRule>
    <cfRule type="expression" dxfId="1372" priority="863">
      <formula>IF($B37="Quoting",TRUE,FALSE)</formula>
    </cfRule>
    <cfRule type="expression" dxfId="1371" priority="864">
      <formula>IF($B37="Quoting",TRUE,FALSE)</formula>
    </cfRule>
    <cfRule type="expression" dxfId="1370" priority="865">
      <formula>IF($B37="Quoting",TRUE,FALSE)</formula>
    </cfRule>
    <cfRule type="expression" dxfId="1369" priority="866">
      <formula>IF($B37="Quoting",TRUE,FALSE)</formula>
    </cfRule>
    <cfRule type="expression" dxfId="1368" priority="867">
      <formula>IF($B37="Quoting",TRUE,FALSE)</formula>
    </cfRule>
    <cfRule type="expression" dxfId="1367" priority="868">
      <formula>IF($B37="Quoting",TRUE,FALSE)</formula>
    </cfRule>
    <cfRule type="expression" dxfId="1366" priority="869">
      <formula>IF($B37="Quoting",TRUE,FALSE)</formula>
    </cfRule>
    <cfRule type="expression" dxfId="1365" priority="870">
      <formula>IF($B37="Quoting",TRUE,FALSE)</formula>
    </cfRule>
    <cfRule type="expression" dxfId="1364" priority="871">
      <formula>IF($B37="Quoting",TRUE,FALSE)</formula>
    </cfRule>
    <cfRule type="expression" dxfId="1363" priority="872">
      <formula>IF($B37="Quoting",TRUE,FALSE)</formula>
    </cfRule>
    <cfRule type="expression" dxfId="1362" priority="873">
      <formula>IF($B37="Quoting",TRUE,FALSE)</formula>
    </cfRule>
    <cfRule type="expression" dxfId="1361" priority="874">
      <formula>IF($B37="Quoting",TRUE,FALSE)</formula>
    </cfRule>
    <cfRule type="expression" dxfId="1360" priority="875">
      <formula>IF($B37="Quoting",TRUE,FALSE)</formula>
    </cfRule>
    <cfRule type="expression" dxfId="1359" priority="876">
      <formula>IF($B37="Quoting",TRUE,FALSE)</formula>
    </cfRule>
    <cfRule type="expression" dxfId="1358" priority="877">
      <formula>IF($B37="Quoting",TRUE,FALSE)</formula>
    </cfRule>
    <cfRule type="expression" dxfId="1357" priority="878">
      <formula>IF($B37="Quoting",TRUE,FALSE)</formula>
    </cfRule>
    <cfRule type="expression" dxfId="1356" priority="879">
      <formula>IF($B37="Quoting",TRUE,FALSE)</formula>
    </cfRule>
    <cfRule type="expression" dxfId="1355" priority="880">
      <formula>IF($B37="Quoting",TRUE,FALSE)</formula>
    </cfRule>
    <cfRule type="expression" dxfId="1354" priority="881">
      <formula>IF($B37="Quoting",TRUE,FALSE)</formula>
    </cfRule>
    <cfRule type="expression" dxfId="1353" priority="882">
      <formula>IF($B37="Quoting",TRUE,FALSE)</formula>
    </cfRule>
    <cfRule type="expression" dxfId="1352" priority="883">
      <formula>IF($B37="Quoting",TRUE,FALSE)</formula>
    </cfRule>
    <cfRule type="expression" dxfId="1351" priority="884">
      <formula>IF($B37="Quoting",TRUE,FALSE)</formula>
    </cfRule>
    <cfRule type="expression" dxfId="1350" priority="885">
      <formula>IF($B37="Quoting",TRUE,FALSE)</formula>
    </cfRule>
    <cfRule type="expression" dxfId="1349" priority="886">
      <formula>IF($B37="Quoting",TRUE,FALSE)</formula>
    </cfRule>
    <cfRule type="expression" dxfId="1348" priority="887">
      <formula>IF($B37="Quoting",TRUE,FALSE)</formula>
    </cfRule>
    <cfRule type="expression" dxfId="1347" priority="888">
      <formula>IF($B37="Quoting",TRUE,FALSE)</formula>
    </cfRule>
    <cfRule type="expression" dxfId="1346" priority="889">
      <formula>IF($B37="Quoting",TRUE,FALSE)</formula>
    </cfRule>
    <cfRule type="expression" dxfId="1345" priority="890">
      <formula>IF($B37="Quoting",TRUE,FALSE)</formula>
    </cfRule>
    <cfRule type="expression" dxfId="1344" priority="891">
      <formula>IF($B37="Quoting",TRUE,FALSE)</formula>
    </cfRule>
    <cfRule type="expression" dxfId="1343" priority="892">
      <formula>IF($B37="Quoting",TRUE,FALSE)</formula>
    </cfRule>
    <cfRule type="expression" dxfId="1342" priority="893">
      <formula>IF($B37="Quoting",TRUE,FALSE)</formula>
    </cfRule>
    <cfRule type="expression" dxfId="1341" priority="894">
      <formula>IF($B37="Quoting",TRUE,FALSE)</formula>
    </cfRule>
    <cfRule type="expression" dxfId="1340" priority="895">
      <formula>IF($B37="Quoting",TRUE,FALSE)</formula>
    </cfRule>
    <cfRule type="expression" dxfId="1339" priority="896">
      <formula>IF($B37="Quoting",TRUE,FALSE)</formula>
    </cfRule>
    <cfRule type="expression" dxfId="1338" priority="897">
      <formula>IF($B37="Quoting",TRUE,FALSE)</formula>
    </cfRule>
    <cfRule type="expression" dxfId="1337" priority="898">
      <formula>IF($B37="Quoting",TRUE,FALSE)</formula>
    </cfRule>
    <cfRule type="expression" dxfId="1336" priority="899">
      <formula>IF($B37="Quoting",TRUE,FALSE)</formula>
    </cfRule>
    <cfRule type="expression" dxfId="1335" priority="900">
      <formula>IF($B37="Quoting",TRUE,FALSE)</formula>
    </cfRule>
    <cfRule type="expression" dxfId="1334" priority="901">
      <formula>IF($B37="Quoting",TRUE,FALSE)</formula>
    </cfRule>
    <cfRule type="expression" dxfId="1333" priority="902">
      <formula>IF($B37="Quoting",TRUE,FALSE)</formula>
    </cfRule>
    <cfRule type="expression" dxfId="1332" priority="903">
      <formula>IF($B37="Quoting",TRUE,FALSE)</formula>
    </cfRule>
    <cfRule type="expression" dxfId="1331" priority="904">
      <formula>IF($B37="Quoting",TRUE,FALSE)</formula>
    </cfRule>
    <cfRule type="expression" dxfId="1330" priority="905">
      <formula>IF($B37="Quoting",TRUE,FALSE)</formula>
    </cfRule>
    <cfRule type="expression" dxfId="1329" priority="906">
      <formula>IF($B37="Quoting",TRUE,FALSE)</formula>
    </cfRule>
    <cfRule type="expression" dxfId="1328" priority="907">
      <formula>IF($B37="Quoting",TRUE,FALSE)</formula>
    </cfRule>
    <cfRule type="expression" dxfId="1327" priority="908">
      <formula>IF($B37="Quoting",TRUE,FALSE)</formula>
    </cfRule>
    <cfRule type="expression" dxfId="1326" priority="909">
      <formula>IF($B37="Quoting",TRUE,FALSE)</formula>
    </cfRule>
    <cfRule type="expression" dxfId="1325" priority="910">
      <formula>IF($B37="Quoting",TRUE,FALSE)</formula>
    </cfRule>
    <cfRule type="expression" dxfId="1324" priority="911">
      <formula>IF($B37="Quoting",TRUE,FALSE)</formula>
    </cfRule>
    <cfRule type="expression" dxfId="1323" priority="912">
      <formula>IF($B37="Quoting",TRUE,FALSE)</formula>
    </cfRule>
    <cfRule type="expression" dxfId="1322" priority="913">
      <formula>IF($B37="Quoting",TRUE,FALSE)</formula>
    </cfRule>
    <cfRule type="expression" dxfId="1321" priority="914">
      <formula>IF($B37="Quoting",TRUE,FALSE)</formula>
    </cfRule>
    <cfRule type="expression" dxfId="1320" priority="915">
      <formula>IF($B37="Quoting",TRUE,FALSE)</formula>
    </cfRule>
    <cfRule type="expression" dxfId="1319" priority="916">
      <formula>IF($B37="Quoting",TRUE,FALSE)</formula>
    </cfRule>
    <cfRule type="expression" dxfId="1318" priority="917">
      <formula>IF($B37="Quoting",TRUE,FALSE)</formula>
    </cfRule>
    <cfRule type="expression" dxfId="1317" priority="918">
      <formula>IF($B37="Quoting",TRUE,FALSE)</formula>
    </cfRule>
    <cfRule type="expression" dxfId="1316" priority="919">
      <formula>IF($B37="Quoting",TRUE,FALSE)</formula>
    </cfRule>
    <cfRule type="expression" dxfId="1315" priority="920">
      <formula>IF($B37="Quoting",TRUE,FALSE)</formula>
    </cfRule>
    <cfRule type="expression" dxfId="1314" priority="921">
      <formula>IF($B37="Quoting",TRUE,FALSE)</formula>
    </cfRule>
    <cfRule type="expression" dxfId="1313" priority="922">
      <formula>IF($B37="Quoting",TRUE,FALSE)</formula>
    </cfRule>
    <cfRule type="expression" dxfId="1312" priority="923">
      <formula>IF($B37="Quoting",TRUE,FALSE)</formula>
    </cfRule>
    <cfRule type="expression" dxfId="1311" priority="924">
      <formula>IF($B37="Quoting",TRUE,FALSE)</formula>
    </cfRule>
    <cfRule type="expression" dxfId="1310" priority="925">
      <formula>IF($B37="Quoting",TRUE,FALSE)</formula>
    </cfRule>
    <cfRule type="expression" dxfId="1309" priority="926">
      <formula>IF($B37="Quoting",TRUE,FALSE)</formula>
    </cfRule>
    <cfRule type="expression" dxfId="1308" priority="927">
      <formula>IF($B37="Quoting",TRUE,FALSE)</formula>
    </cfRule>
    <cfRule type="expression" dxfId="1307" priority="928">
      <formula>IF($B37="Quoting",TRUE,FALSE)</formula>
    </cfRule>
    <cfRule type="expression" dxfId="1306" priority="929">
      <formula>IF($B37="Quoting",TRUE,FALSE)</formula>
    </cfRule>
    <cfRule type="expression" dxfId="1305" priority="930">
      <formula>IF($B37="Quoting",TRUE,FALSE)</formula>
    </cfRule>
    <cfRule type="expression" dxfId="1304" priority="931">
      <formula>IF($B37="Quoting",TRUE,FALSE)</formula>
    </cfRule>
    <cfRule type="expression" dxfId="1303" priority="932">
      <formula>IF($B37="Quoting",TRUE,FALSE)</formula>
    </cfRule>
    <cfRule type="expression" dxfId="1302" priority="933">
      <formula>IF($B37="Quoting",TRUE,FALSE)</formula>
    </cfRule>
    <cfRule type="expression" dxfId="1301" priority="934">
      <formula>IF($B37="Quoting",TRUE,FALSE)</formula>
    </cfRule>
    <cfRule type="expression" dxfId="1300" priority="935">
      <formula>IF($B37="Quoting",TRUE,FALSE)</formula>
    </cfRule>
    <cfRule type="expression" dxfId="1299" priority="936">
      <formula>IF($B37="Quoting",TRUE,FALSE)</formula>
    </cfRule>
    <cfRule type="expression" dxfId="1298" priority="937">
      <formula>IF($B37="Quoting",TRUE,FALSE)</formula>
    </cfRule>
    <cfRule type="expression" dxfId="1297" priority="938">
      <formula>IF($B37="Quoting",TRUE,FALSE)</formula>
    </cfRule>
    <cfRule type="expression" dxfId="1296" priority="939">
      <formula>IF($B37="Quoting",TRUE,FALSE)</formula>
    </cfRule>
    <cfRule type="expression" dxfId="1295" priority="940">
      <formula>IF($B37="Quoting",TRUE,FALSE)</formula>
    </cfRule>
    <cfRule type="expression" dxfId="1294" priority="941">
      <formula>IF($B37="Quoting",TRUE,FALSE)</formula>
    </cfRule>
    <cfRule type="expression" dxfId="1293" priority="942">
      <formula>IF($B37="Quoting",TRUE,FALSE)</formula>
    </cfRule>
    <cfRule type="expression" dxfId="1292" priority="943">
      <formula>IF($B37="Quoting",TRUE,FALSE)</formula>
    </cfRule>
    <cfRule type="expression" dxfId="1291" priority="944">
      <formula>IF($B37="Quoting",TRUE,FALSE)</formula>
    </cfRule>
    <cfRule type="expression" dxfId="1290" priority="945">
      <formula>IF($B37="Quoting",TRUE,FALSE)</formula>
    </cfRule>
    <cfRule type="expression" dxfId="1289" priority="946">
      <formula>IF($B37="Quoting",TRUE,FALSE)</formula>
    </cfRule>
    <cfRule type="expression" dxfId="1288" priority="947">
      <formula>IF($B37="Quoting",TRUE,FALSE)</formula>
    </cfRule>
    <cfRule type="expression" dxfId="1287" priority="948">
      <formula>IF($B37="Quoting",TRUE,FALSE)</formula>
    </cfRule>
    <cfRule type="expression" dxfId="1286" priority="949">
      <formula>IF($B37="Quoting",TRUE,FALSE)</formula>
    </cfRule>
    <cfRule type="expression" dxfId="1285" priority="950">
      <formula>IF($B37="Quoting",TRUE,FALSE)</formula>
    </cfRule>
    <cfRule type="expression" dxfId="1284" priority="951">
      <formula>IF($B37="Quoting",TRUE,FALSE)</formula>
    </cfRule>
    <cfRule type="expression" dxfId="1283" priority="952">
      <formula>IF($B37="Quoting",TRUE,FALSE)</formula>
    </cfRule>
    <cfRule type="expression" dxfId="1282" priority="953">
      <formula>IF($B37="Quoting",TRUE,FALSE)</formula>
    </cfRule>
    <cfRule type="expression" dxfId="1281" priority="954">
      <formula>IF($B37="Quoting",TRUE,FALSE)</formula>
    </cfRule>
    <cfRule type="expression" dxfId="1280" priority="955">
      <formula>IF($B37="Quoting",TRUE,FALSE)</formula>
    </cfRule>
    <cfRule type="expression" dxfId="1279" priority="956">
      <formula>IF($B37="Quoting",TRUE,FALSE)</formula>
    </cfRule>
    <cfRule type="expression" dxfId="1278" priority="957">
      <formula>IF($B37="Quoting",TRUE,FALSE)</formula>
    </cfRule>
    <cfRule type="expression" dxfId="1277" priority="958">
      <formula>IF($B37="Quoting",TRUE,FALSE)</formula>
    </cfRule>
    <cfRule type="expression" dxfId="1276" priority="959">
      <formula>IF($B37="Quoting",TRUE,FALSE)</formula>
    </cfRule>
    <cfRule type="expression" dxfId="1275" priority="960">
      <formula>IF($B37="Quoting",TRUE,FALSE)</formula>
    </cfRule>
    <cfRule type="expression" dxfId="1274" priority="961">
      <formula>IF($B37="Quoting",TRUE,FALSE)</formula>
    </cfRule>
    <cfRule type="expression" dxfId="1273" priority="962">
      <formula>IF($B37="Quoting",TRUE,FALSE)</formula>
    </cfRule>
    <cfRule type="expression" dxfId="1272" priority="963">
      <formula>IF($B37="Quoting",TRUE,FALSE)</formula>
    </cfRule>
    <cfRule type="expression" dxfId="1271" priority="964">
      <formula>IF($B37="Quoting",TRUE,FALSE)</formula>
    </cfRule>
    <cfRule type="expression" dxfId="1270" priority="965">
      <formula>IF($B37="Quoting",TRUE,FALSE)</formula>
    </cfRule>
    <cfRule type="expression" dxfId="1269" priority="966">
      <formula>IF($B37="Quoting",TRUE,FALSE)</formula>
    </cfRule>
    <cfRule type="expression" dxfId="1268" priority="967">
      <formula>IF($B37="Quoting",TRUE,FALSE)</formula>
    </cfRule>
    <cfRule type="expression" dxfId="1267" priority="968">
      <formula>IF($B37="Quoting",TRUE,FALSE)</formula>
    </cfRule>
    <cfRule type="expression" dxfId="1266" priority="969">
      <formula>IF($B37="Quoting",TRUE,FALSE)</formula>
    </cfRule>
    <cfRule type="expression" dxfId="1265" priority="970">
      <formula>IF($B37="Quoting",TRUE,FALSE)</formula>
    </cfRule>
    <cfRule type="expression" dxfId="1264" priority="971">
      <formula>IF($B37="Quoting",TRUE,FALSE)</formula>
    </cfRule>
    <cfRule type="expression" dxfId="1263" priority="972">
      <formula>IF($B37="Quoting",TRUE,FALSE)</formula>
    </cfRule>
    <cfRule type="expression" dxfId="1262" priority="973">
      <formula>IF($B37="Quoting",TRUE,FALSE)</formula>
    </cfRule>
    <cfRule type="expression" dxfId="1261" priority="974">
      <formula>IF($B37="Quoting",TRUE,FALSE)</formula>
    </cfRule>
    <cfRule type="expression" dxfId="1260" priority="975">
      <formula>IF($B37="Quoting",TRUE,FALSE)</formula>
    </cfRule>
    <cfRule type="expression" dxfId="1259" priority="976">
      <formula>IF($B37="Quoting",TRUE,FALSE)</formula>
    </cfRule>
    <cfRule type="expression" dxfId="1258" priority="977">
      <formula>IF($B37="Quoting",TRUE,FALSE)</formula>
    </cfRule>
    <cfRule type="expression" dxfId="1257" priority="978">
      <formula>IF($B37="Quoting",TRUE,FALSE)</formula>
    </cfRule>
    <cfRule type="expression" dxfId="1256" priority="979">
      <formula>IF($B37="Quoting",TRUE,FALSE)</formula>
    </cfRule>
    <cfRule type="expression" dxfId="1255" priority="980">
      <formula>IF($B37="Quoting",TRUE,FALSE)</formula>
    </cfRule>
    <cfRule type="expression" dxfId="1254" priority="981">
      <formula>IF($B37="Quoting",TRUE,FALSE)</formula>
    </cfRule>
    <cfRule type="expression" dxfId="1253" priority="982">
      <formula>IF($B37="Quoting",TRUE,FALSE)</formula>
    </cfRule>
    <cfRule type="expression" dxfId="1252" priority="983">
      <formula>IF($B37="Quoting",TRUE,FALSE)</formula>
    </cfRule>
    <cfRule type="expression" dxfId="1251" priority="984">
      <formula>IF($B37="Quoting",TRUE,FALSE)</formula>
    </cfRule>
    <cfRule type="expression" dxfId="1250" priority="985">
      <formula>IF($B37="Quoting",TRUE,FALSE)</formula>
    </cfRule>
    <cfRule type="expression" dxfId="1249" priority="986">
      <formula>IF($B37="Quoting",TRUE,FALSE)</formula>
    </cfRule>
    <cfRule type="expression" dxfId="1248" priority="987">
      <formula>IF($B37="Quoting",TRUE,FALSE)</formula>
    </cfRule>
    <cfRule type="expression" dxfId="1247" priority="988">
      <formula>IF($B37="Quoting",TRUE,FALSE)</formula>
    </cfRule>
    <cfRule type="expression" dxfId="1246" priority="989">
      <formula>IF($B37="Quoting",TRUE,FALSE)</formula>
    </cfRule>
    <cfRule type="expression" dxfId="1245" priority="990">
      <formula>IF($B37="Quoting",TRUE,FALSE)</formula>
    </cfRule>
    <cfRule type="expression" dxfId="1244" priority="991">
      <formula>IF($B37="Quoting",TRUE,FALSE)</formula>
    </cfRule>
    <cfRule type="expression" dxfId="1243" priority="992">
      <formula>IF($B37="Quoting",TRUE,FALSE)</formula>
    </cfRule>
    <cfRule type="expression" dxfId="1242" priority="993">
      <formula>IF($B37="Quoting",TRUE,FALSE)</formula>
    </cfRule>
    <cfRule type="expression" dxfId="1241" priority="994">
      <formula>IF($B37="Quoting",TRUE,FALSE)</formula>
    </cfRule>
    <cfRule type="expression" dxfId="1240" priority="995">
      <formula>IF($B37="Quoting",TRUE,FALSE)</formula>
    </cfRule>
    <cfRule type="expression" dxfId="1239" priority="996">
      <formula>IF($B37="Quoting",TRUE,FALSE)</formula>
    </cfRule>
    <cfRule type="expression" dxfId="1238" priority="997">
      <formula>IF($B37="Quoting",TRUE,FALSE)</formula>
    </cfRule>
    <cfRule type="expression" dxfId="1237" priority="998">
      <formula>IF($B37="Quoting",TRUE,FALSE)</formula>
    </cfRule>
    <cfRule type="expression" dxfId="1236" priority="999">
      <formula>IF($B37="Quoting",TRUE,FALSE)</formula>
    </cfRule>
    <cfRule type="expression" dxfId="1235" priority="1000">
      <formula>IF($B37="Quoting",TRUE,FALSE)</formula>
    </cfRule>
    <cfRule type="expression" dxfId="1234" priority="1001">
      <formula>IF($B37="Quoting",TRUE,FALSE)</formula>
    </cfRule>
    <cfRule type="expression" dxfId="1233" priority="1002">
      <formula>IF($B37="Quoting",TRUE,FALSE)</formula>
    </cfRule>
    <cfRule type="expression" dxfId="1232" priority="1003">
      <formula>IF($B37="Quoting",TRUE,FALSE)</formula>
    </cfRule>
    <cfRule type="expression" dxfId="1231" priority="1004">
      <formula>IF($B37="Quoting",TRUE,FALSE)</formula>
    </cfRule>
    <cfRule type="expression" dxfId="1230" priority="1005">
      <formula>IF($B37="Quoting",TRUE,FALSE)</formula>
    </cfRule>
    <cfRule type="expression" dxfId="1229" priority="1006">
      <formula>IF($B37="Quoting",TRUE,FALSE)</formula>
    </cfRule>
    <cfRule type="expression" dxfId="1228" priority="1007">
      <formula>IF($B37="Quoting",TRUE,FALSE)</formula>
    </cfRule>
    <cfRule type="expression" dxfId="1227" priority="1008">
      <formula>IF($B37="Quoting",TRUE,FALSE)</formula>
    </cfRule>
    <cfRule type="expression" dxfId="1226" priority="1009">
      <formula>IF($B37="Quoting",TRUE,FALSE)</formula>
    </cfRule>
    <cfRule type="expression" dxfId="1225" priority="1010">
      <formula>IF($B37="Quoting",TRUE,FALSE)</formula>
    </cfRule>
    <cfRule type="expression" dxfId="1224" priority="1011">
      <formula>IF($B37="Quoting",TRUE,FALSE)</formula>
    </cfRule>
    <cfRule type="expression" dxfId="1223" priority="1012">
      <formula>IF($B37="Quoting",TRUE,FALSE)</formula>
    </cfRule>
    <cfRule type="expression" dxfId="1222" priority="1013">
      <formula>IF($B37="Quoting",TRUE,FALSE)</formula>
    </cfRule>
    <cfRule type="expression" dxfId="1221" priority="1014">
      <formula>IF($B37="Quoting",TRUE,FALSE)</formula>
    </cfRule>
    <cfRule type="expression" dxfId="1220" priority="1015">
      <formula>IF($B37="Quoting",TRUE,FALSE)</formula>
    </cfRule>
    <cfRule type="expression" dxfId="1219" priority="1016">
      <formula>IF($B37="Quoting",TRUE,FALSE)</formula>
    </cfRule>
    <cfRule type="expression" dxfId="1218" priority="1017">
      <formula>IF($B37="Quoting",TRUE,FALSE)</formula>
    </cfRule>
    <cfRule type="expression" dxfId="1217" priority="1018">
      <formula>IF($B37="Quoting",TRUE,FALSE)</formula>
    </cfRule>
    <cfRule type="expression" dxfId="1216" priority="1019">
      <formula>IF($B37="Quoting",TRUE,FALSE)</formula>
    </cfRule>
    <cfRule type="expression" dxfId="1215" priority="1020">
      <formula>IF($B37="Quoting",TRUE,FALSE)</formula>
    </cfRule>
    <cfRule type="expression" dxfId="1214" priority="1021">
      <formula>IF($B37="Quoting",TRUE,FALSE)</formula>
    </cfRule>
    <cfRule type="expression" dxfId="1213" priority="1022">
      <formula>IF($B37="Quoting",TRUE,FALSE)</formula>
    </cfRule>
    <cfRule type="expression" dxfId="1212" priority="1023">
      <formula>IF($B37="Quoting",TRUE,FALSE)</formula>
    </cfRule>
    <cfRule type="expression" dxfId="1211" priority="1024">
      <formula>IF($B37="Quoting",TRUE,FALSE)</formula>
    </cfRule>
    <cfRule type="expression" dxfId="1210" priority="1025">
      <formula>IF($B37="Quoting",TRUE,FALSE)</formula>
    </cfRule>
    <cfRule type="expression" dxfId="1209" priority="1026">
      <formula>IF($B37="Quoting",TRUE,FALSE)</formula>
    </cfRule>
    <cfRule type="expression" dxfId="1208" priority="1027">
      <formula>IF($B37="Quoting",TRUE,FALSE)</formula>
    </cfRule>
    <cfRule type="expression" dxfId="1207" priority="1028">
      <formula>IF($B37="Quoting",TRUE,FALSE)</formula>
    </cfRule>
    <cfRule type="expression" dxfId="1206" priority="1029">
      <formula>IF($B37="Quoting",TRUE,FALSE)</formula>
    </cfRule>
    <cfRule type="expression" dxfId="1205" priority="1030">
      <formula>IF($B37="Quoting",TRUE,FALSE)</formula>
    </cfRule>
    <cfRule type="expression" dxfId="1204" priority="1031">
      <formula>IF($B37="Quoting",TRUE,FALSE)</formula>
    </cfRule>
    <cfRule type="expression" dxfId="1203" priority="1032">
      <formula>IF($B37="Quoting",TRUE,FALSE)</formula>
    </cfRule>
    <cfRule type="expression" dxfId="1202" priority="1033">
      <formula>IF($B37="Quoting",TRUE,FALSE)</formula>
    </cfRule>
    <cfRule type="expression" dxfId="1201" priority="1034">
      <formula>IF($B37="Quoting",TRUE,FALSE)</formula>
    </cfRule>
    <cfRule type="expression" dxfId="1200" priority="1035">
      <formula>IF($B37="Quoting",TRUE,FALSE)</formula>
    </cfRule>
    <cfRule type="expression" dxfId="1199" priority="1036">
      <formula>IF($B37="Quoting",TRUE,FALSE)</formula>
    </cfRule>
    <cfRule type="expression" dxfId="1198" priority="1037">
      <formula>IF($B37="Quoting",TRUE,FALSE)</formula>
    </cfRule>
    <cfRule type="expression" dxfId="1197" priority="1038">
      <formula>IF($B37="Quoting",TRUE,FALSE)</formula>
    </cfRule>
    <cfRule type="expression" dxfId="1196" priority="1039">
      <formula>IF($B37="Quoting",TRUE,FALSE)</formula>
    </cfRule>
    <cfRule type="expression" dxfId="1195" priority="1040">
      <formula>IF($B37="Quoting",TRUE,FALSE)</formula>
    </cfRule>
    <cfRule type="expression" dxfId="1194" priority="1041">
      <formula>IF($B37="Quoting",TRUE,FALSE)</formula>
    </cfRule>
    <cfRule type="expression" dxfId="1193" priority="1042">
      <formula>IF($B37="Quoting",TRUE,FALSE)</formula>
    </cfRule>
    <cfRule type="expression" dxfId="1192" priority="1043">
      <formula>IF($B37="Quoting",TRUE,FALSE)</formula>
    </cfRule>
    <cfRule type="expression" dxfId="1191" priority="1044">
      <formula>IF($B37="Quoting",TRUE,FALSE)</formula>
    </cfRule>
    <cfRule type="expression" dxfId="1190" priority="1045">
      <formula>IF($B37="Quoting",TRUE,FALSE)</formula>
    </cfRule>
    <cfRule type="expression" dxfId="1189" priority="1046">
      <formula>IF($B37="Quoting",TRUE,FALSE)</formula>
    </cfRule>
    <cfRule type="expression" dxfId="1188" priority="1047">
      <formula>IF($B37="Quoting",TRUE,FALSE)</formula>
    </cfRule>
    <cfRule type="expression" dxfId="1187" priority="1048">
      <formula>IF($B37="Quoting",TRUE,FALSE)</formula>
    </cfRule>
    <cfRule type="expression" dxfId="1186" priority="1049">
      <formula>IF($B37="Quoting",TRUE,FALSE)</formula>
    </cfRule>
    <cfRule type="expression" dxfId="1185" priority="1050">
      <formula>IF($B37="Quoting",TRUE,FALSE)</formula>
    </cfRule>
    <cfRule type="expression" dxfId="1184" priority="1051">
      <formula>IF($B37="Quoting",TRUE,FALSE)</formula>
    </cfRule>
    <cfRule type="expression" dxfId="1183" priority="1052">
      <formula>IF($B37="Quoting",TRUE,FALSE)</formula>
    </cfRule>
    <cfRule type="expression" dxfId="1182" priority="1053">
      <formula>IF($B37="Quoting",TRUE,FALSE)</formula>
    </cfRule>
    <cfRule type="expression" dxfId="1181" priority="1054">
      <formula>IF($B37="Quoting",TRUE,FALSE)</formula>
    </cfRule>
    <cfRule type="expression" dxfId="1180" priority="1055">
      <formula>IF($B37="Quoting",TRUE,FALSE)</formula>
    </cfRule>
    <cfRule type="expression" dxfId="1179" priority="1056">
      <formula>IF($B37="Quoting",TRUE,FALSE)</formula>
    </cfRule>
    <cfRule type="expression" dxfId="1178" priority="1057">
      <formula>IF($B37="Quoting",TRUE,FALSE)</formula>
    </cfRule>
    <cfRule type="expression" dxfId="1177" priority="1058">
      <formula>IF($B37="Quoting",TRUE,FALSE)</formula>
    </cfRule>
    <cfRule type="expression" dxfId="1176" priority="1059">
      <formula>IF($B37="Quoting",TRUE,FALSE)</formula>
    </cfRule>
    <cfRule type="expression" dxfId="1175" priority="1060">
      <formula>IF($B37="Quoting",TRUE,FALSE)</formula>
    </cfRule>
    <cfRule type="expression" dxfId="1174" priority="1061">
      <formula>IF($B37="Quoting",TRUE,FALSE)</formula>
    </cfRule>
    <cfRule type="expression" dxfId="1173" priority="1062">
      <formula>IF($B37="Quoting",TRUE,FALSE)</formula>
    </cfRule>
    <cfRule type="expression" dxfId="1172" priority="1063">
      <formula>IF($B37="Quoting",TRUE,FALSE)</formula>
    </cfRule>
    <cfRule type="expression" dxfId="1171" priority="1064">
      <formula>IF($B37="Quoting",TRUE,FALSE)</formula>
    </cfRule>
    <cfRule type="expression" dxfId="1170" priority="1065">
      <formula>IF($B37="Quoting",TRUE,FALSE)</formula>
    </cfRule>
    <cfRule type="expression" dxfId="1169" priority="1066">
      <formula>IF($B37="Quoting",TRUE,FALSE)</formula>
    </cfRule>
    <cfRule type="expression" dxfId="1168" priority="1067">
      <formula>IF($B37="Quoting",TRUE,FALSE)</formula>
    </cfRule>
    <cfRule type="expression" dxfId="1167" priority="1068">
      <formula>IF($B37="Quoting",TRUE,FALSE)</formula>
    </cfRule>
    <cfRule type="expression" dxfId="1166" priority="1069">
      <formula>IF($B37="Quoting",TRUE,FALSE)</formula>
    </cfRule>
    <cfRule type="expression" dxfId="1165" priority="1070">
      <formula>IF($B37="Quoting",TRUE,FALSE)</formula>
    </cfRule>
    <cfRule type="expression" dxfId="1164" priority="1071">
      <formula>IF($B37="Quoting",TRUE,FALSE)</formula>
    </cfRule>
    <cfRule type="expression" dxfId="1163" priority="1072">
      <formula>IF($B37="Quoting",TRUE,FALSE)</formula>
    </cfRule>
    <cfRule type="expression" dxfId="1162" priority="1073">
      <formula>IF($B37="Quoting",TRUE,FALSE)</formula>
    </cfRule>
    <cfRule type="expression" dxfId="1161" priority="1074">
      <formula>IF($B37="Quoting",TRUE,FALSE)</formula>
    </cfRule>
    <cfRule type="expression" dxfId="1160" priority="1075">
      <formula>IF($B37="Quoting",TRUE,FALSE)</formula>
    </cfRule>
    <cfRule type="expression" dxfId="1159" priority="1076">
      <formula>IF($B37="Quoting",TRUE,FALSE)</formula>
    </cfRule>
    <cfRule type="expression" dxfId="1158" priority="1077">
      <formula>IF($B37="Quoting",TRUE,FALSE)</formula>
    </cfRule>
    <cfRule type="expression" dxfId="1157" priority="1078">
      <formula>IF($B37="Quoting",TRUE,FALSE)</formula>
    </cfRule>
    <cfRule type="expression" dxfId="1156" priority="1079">
      <formula>IF($B37="Quoting",TRUE,FALSE)</formula>
    </cfRule>
    <cfRule type="expression" dxfId="1155" priority="1080">
      <formula>IF($B37="Quoting",TRUE,FALSE)</formula>
    </cfRule>
    <cfRule type="expression" dxfId="1154" priority="1081">
      <formula>IF($B37="Quoting",TRUE,FALSE)</formula>
    </cfRule>
    <cfRule type="expression" dxfId="1153" priority="1082">
      <formula>IF($B37="Quoting",TRUE,FALSE)</formula>
    </cfRule>
    <cfRule type="expression" dxfId="1152" priority="1083">
      <formula>IF($B37="Quoting",TRUE,FALSE)</formula>
    </cfRule>
    <cfRule type="expression" dxfId="1151" priority="1084">
      <formula>IF($B37="Quoting",TRUE,FALSE)</formula>
    </cfRule>
    <cfRule type="expression" dxfId="1150" priority="1085">
      <formula>IF($B37="Quoting",TRUE,FALSE)</formula>
    </cfRule>
    <cfRule type="expression" dxfId="1149" priority="1086">
      <formula>IF($B37="Quoting",TRUE,FALSE)</formula>
    </cfRule>
    <cfRule type="expression" dxfId="1148" priority="1087">
      <formula>IF($B37="Quoting",TRUE,FALSE)</formula>
    </cfRule>
    <cfRule type="expression" dxfId="1147" priority="1088">
      <formula>IF($B37="Quoting",TRUE,FALSE)</formula>
    </cfRule>
    <cfRule type="expression" dxfId="1146" priority="1089">
      <formula>IF($B37="Quoting",TRUE,FALSE)</formula>
    </cfRule>
    <cfRule type="expression" dxfId="1145" priority="1090">
      <formula>IF($B37="Quoting",TRUE,FALSE)</formula>
    </cfRule>
    <cfRule type="expression" dxfId="1144" priority="1091">
      <formula>IF($B37="Quoting",TRUE,FALSE)</formula>
    </cfRule>
    <cfRule type="expression" dxfId="1143" priority="1092">
      <formula>IF($B37="Quoting",TRUE,FALSE)</formula>
    </cfRule>
    <cfRule type="expression" dxfId="1142" priority="1093">
      <formula>IF($B37="Quoting",TRUE,FALSE)</formula>
    </cfRule>
    <cfRule type="expression" dxfId="1141" priority="1094">
      <formula>IF($B37="Quoting",TRUE,FALSE)</formula>
    </cfRule>
    <cfRule type="expression" dxfId="1140" priority="1095">
      <formula>IF($B37="Quoting",TRUE,FALSE)</formula>
    </cfRule>
    <cfRule type="expression" dxfId="1139" priority="1096">
      <formula>IF($B37="Quoting",TRUE,FALSE)</formula>
    </cfRule>
    <cfRule type="expression" dxfId="1138" priority="1097">
      <formula>IF($B37="Quoting",TRUE,FALSE)</formula>
    </cfRule>
    <cfRule type="expression" dxfId="1137" priority="1098">
      <formula>IF($B37="Quoting",TRUE,FALSE)</formula>
    </cfRule>
    <cfRule type="expression" dxfId="1136" priority="1099">
      <formula>IF($B37="Quoting",TRUE,FALSE)</formula>
    </cfRule>
    <cfRule type="expression" dxfId="1135" priority="1100">
      <formula>IF($B37="Quoting",TRUE,FALSE)</formula>
    </cfRule>
    <cfRule type="expression" dxfId="1134" priority="1101">
      <formula>IF($B37="Quoting",TRUE,FALSE)</formula>
    </cfRule>
    <cfRule type="expression" dxfId="1133" priority="1102">
      <formula>IF($B37="Quoting",TRUE,FALSE)</formula>
    </cfRule>
    <cfRule type="expression" dxfId="1132" priority="1103">
      <formula>IF($B37="Quoting",TRUE,FALSE)</formula>
    </cfRule>
    <cfRule type="expression" dxfId="1131" priority="1104">
      <formula>IF($B37="Quoting",TRUE,FALSE)</formula>
    </cfRule>
    <cfRule type="expression" dxfId="1130" priority="1105">
      <formula>IF($B37="Quoting",TRUE,FALSE)</formula>
    </cfRule>
    <cfRule type="expression" dxfId="1129" priority="1106">
      <formula>IF($B37="Quoting",TRUE,FALSE)</formula>
    </cfRule>
    <cfRule type="expression" dxfId="1128" priority="1107">
      <formula>IF($B37="Quoting",TRUE,FALSE)</formula>
    </cfRule>
    <cfRule type="expression" dxfId="1127" priority="1108">
      <formula>IF($B37="Quoting",TRUE,FALSE)</formula>
    </cfRule>
    <cfRule type="expression" dxfId="1126" priority="1109">
      <formula>IF($B37="Quoting",TRUE,FALSE)</formula>
    </cfRule>
    <cfRule type="expression" dxfId="1125" priority="1110">
      <formula>IF($B37="Quoting",TRUE,FALSE)</formula>
    </cfRule>
    <cfRule type="expression" dxfId="1124" priority="1111">
      <formula>IF($B37="Quoting",TRUE,FALSE)</formula>
    </cfRule>
    <cfRule type="expression" dxfId="1123" priority="1112">
      <formula>IF($B37="Quoting",TRUE,FALSE)</formula>
    </cfRule>
    <cfRule type="expression" dxfId="1122" priority="1113">
      <formula>IF($B37="Quoting",TRUE,FALSE)</formula>
    </cfRule>
    <cfRule type="expression" dxfId="1121" priority="1114">
      <formula>IF($B37="Quoting",TRUE,FALSE)</formula>
    </cfRule>
    <cfRule type="expression" dxfId="1120" priority="1115">
      <formula>IF($B37="Quoting",TRUE,FALSE)</formula>
    </cfRule>
    <cfRule type="expression" dxfId="1119" priority="1116">
      <formula>IF($B37="Quoting",TRUE,FALSE)</formula>
    </cfRule>
    <cfRule type="expression" dxfId="1118" priority="1117">
      <formula>IF($B37="Quoting",TRUE,FALSE)</formula>
    </cfRule>
    <cfRule type="expression" dxfId="1117" priority="1118">
      <formula>IF($B37="Quoting",TRUE,FALSE)</formula>
    </cfRule>
    <cfRule type="expression" dxfId="1116" priority="1119">
      <formula>IF($B37="Quoting",TRUE,FALSE)</formula>
    </cfRule>
    <cfRule type="expression" dxfId="1115" priority="1120">
      <formula>IF($B37="Quoting",TRUE,FALSE)</formula>
    </cfRule>
    <cfRule type="expression" dxfId="1114" priority="1121">
      <formula>IF($B37="Quoting",TRUE,FALSE)</formula>
    </cfRule>
    <cfRule type="expression" dxfId="1113" priority="1122">
      <formula>IF($B37="Quoting",TRUE,FALSE)</formula>
    </cfRule>
    <cfRule type="expression" dxfId="1112" priority="1123">
      <formula>IF($B37="Quoting",TRUE,FALSE)</formula>
    </cfRule>
    <cfRule type="expression" dxfId="1111" priority="1124">
      <formula>IF($B37="Quoting",TRUE,FALSE)</formula>
    </cfRule>
    <cfRule type="expression" dxfId="1110" priority="1125">
      <formula>IF($B37="Quoting",TRUE,FALSE)</formula>
    </cfRule>
    <cfRule type="expression" dxfId="1109" priority="1126">
      <formula>IF($B37="Quoting",TRUE,FALSE)</formula>
    </cfRule>
    <cfRule type="expression" dxfId="1108" priority="1127">
      <formula>IF($B37="Quoting",TRUE,FALSE)</formula>
    </cfRule>
    <cfRule type="expression" dxfId="1107" priority="1128">
      <formula>IF($B37="Quoting",TRUE,FALSE)</formula>
    </cfRule>
    <cfRule type="expression" dxfId="1106" priority="1129">
      <formula>IF($B37="Quoting",TRUE,FALSE)</formula>
    </cfRule>
    <cfRule type="expression" dxfId="1105" priority="1130">
      <formula>IF($B37="Quoting",TRUE,FALSE)</formula>
    </cfRule>
    <cfRule type="expression" dxfId="1104" priority="1131">
      <formula>IF($B37="Quoting",TRUE,FALSE)</formula>
    </cfRule>
    <cfRule type="expression" dxfId="1103" priority="1132">
      <formula>IF($B37="Quoting",TRUE,FALSE)</formula>
    </cfRule>
    <cfRule type="expression" dxfId="1102" priority="1133">
      <formula>IF($B37="Quoting",TRUE,FALSE)</formula>
    </cfRule>
    <cfRule type="expression" dxfId="1101" priority="1134">
      <formula>IF($B37="Quoting",TRUE,FALSE)</formula>
    </cfRule>
    <cfRule type="expression" dxfId="1100" priority="1135">
      <formula>IF($B37="Quoting",TRUE,FALSE)</formula>
    </cfRule>
    <cfRule type="expression" dxfId="1099" priority="1136">
      <formula>IF($B37="Quoting",TRUE,FALSE)</formula>
    </cfRule>
    <cfRule type="expression" dxfId="1098" priority="1137">
      <formula>IF($B37="Quoting",TRUE,FALSE)</formula>
    </cfRule>
    <cfRule type="expression" dxfId="1097" priority="1138">
      <formula>IF($B37="Quoting",TRUE,FALSE)</formula>
    </cfRule>
    <cfRule type="expression" dxfId="1096" priority="1139">
      <formula>IF($B37="Quoting",TRUE,FALSE)</formula>
    </cfRule>
    <cfRule type="expression" dxfId="1095" priority="1140">
      <formula>IF($B37="Quoting",TRUE,FALSE)</formula>
    </cfRule>
    <cfRule type="expression" dxfId="1094" priority="1141">
      <formula>IF($B37="Quoting",TRUE,FALSE)</formula>
    </cfRule>
    <cfRule type="expression" dxfId="1093" priority="1142">
      <formula>IF($B37="Quoting",TRUE,FALSE)</formula>
    </cfRule>
    <cfRule type="expression" dxfId="1092" priority="1143">
      <formula>IF($B37="Quoting",TRUE,FALSE)</formula>
    </cfRule>
    <cfRule type="expression" dxfId="1091" priority="1144">
      <formula>IF($B37="Quoting",TRUE,FALSE)</formula>
    </cfRule>
    <cfRule type="expression" dxfId="1090" priority="1145">
      <formula>IF($B37="Quoting",TRUE,FALSE)</formula>
    </cfRule>
    <cfRule type="expression" dxfId="1089" priority="1146">
      <formula>IF($B37="Quoting",TRUE,FALSE)</formula>
    </cfRule>
    <cfRule type="expression" dxfId="1088" priority="1147">
      <formula>IF($B37="Quoting",TRUE,FALSE)</formula>
    </cfRule>
    <cfRule type="expression" dxfId="1087" priority="1148">
      <formula>IF($B37="Quoting",TRUE,FALSE)</formula>
    </cfRule>
    <cfRule type="expression" dxfId="1086" priority="1149">
      <formula>IF($B37="Quoting",TRUE,FALSE)</formula>
    </cfRule>
    <cfRule type="expression" dxfId="1085" priority="1150">
      <formula>IF($B37="Quoting",TRUE,FALSE)</formula>
    </cfRule>
    <cfRule type="expression" dxfId="1084" priority="1151">
      <formula>IF($B37="Quoting",TRUE,FALSE)</formula>
    </cfRule>
    <cfRule type="expression" dxfId="1083" priority="1152">
      <formula>IF($B37="Quoting",TRUE,FALSE)</formula>
    </cfRule>
    <cfRule type="expression" dxfId="1082" priority="1153">
      <formula>IF($B37="Quoting",TRUE,FALSE)</formula>
    </cfRule>
    <cfRule type="expression" dxfId="1081" priority="1154">
      <formula>IF($B37="Quoting",TRUE,FALSE)</formula>
    </cfRule>
    <cfRule type="expression" dxfId="1080" priority="1155">
      <formula>IF($B37="Quoting",TRUE,FALSE)</formula>
    </cfRule>
    <cfRule type="expression" dxfId="1079" priority="1156">
      <formula>IF($B37="Quoting",TRUE,FALSE)</formula>
    </cfRule>
    <cfRule type="expression" dxfId="1078" priority="1157">
      <formula>IF($B37="Quoting",TRUE,FALSE)</formula>
    </cfRule>
    <cfRule type="expression" dxfId="1077" priority="1158">
      <formula>IF($B37="Quoting",TRUE,FALSE)</formula>
    </cfRule>
    <cfRule type="expression" dxfId="1076" priority="1159">
      <formula>IF($B37="Quoting",TRUE,FALSE)</formula>
    </cfRule>
    <cfRule type="expression" dxfId="1075" priority="1160">
      <formula>IF($B37="Quoting",TRUE,FALSE)</formula>
    </cfRule>
    <cfRule type="expression" dxfId="1074" priority="1161">
      <formula>IF($B37="Quoting",TRUE,FALSE)</formula>
    </cfRule>
    <cfRule type="expression" dxfId="1073" priority="1162">
      <formula>IF($B37="Quoting",TRUE,FALSE)</formula>
    </cfRule>
    <cfRule type="expression" dxfId="1072" priority="1163">
      <formula>IF($B37="Quoting",TRUE,FALSE)</formula>
    </cfRule>
    <cfRule type="expression" dxfId="1071" priority="1164">
      <formula>IF($B37="Quoting",TRUE,FALSE)</formula>
    </cfRule>
    <cfRule type="expression" dxfId="1070" priority="1165">
      <formula>IF($B37="Quoting",TRUE,FALSE)</formula>
    </cfRule>
    <cfRule type="expression" dxfId="1069" priority="1166">
      <formula>IF($B37="Quoting",TRUE,FALSE)</formula>
    </cfRule>
    <cfRule type="expression" dxfId="1068" priority="1167">
      <formula>IF($B37="Quoting",TRUE,FALSE)</formula>
    </cfRule>
    <cfRule type="expression" dxfId="1067" priority="1168">
      <formula>IF($B37="Quoting",TRUE,FALSE)</formula>
    </cfRule>
    <cfRule type="expression" dxfId="1066" priority="1169">
      <formula>IF($B37="Quoting",TRUE,FALSE)</formula>
    </cfRule>
    <cfRule type="expression" dxfId="1065" priority="1170">
      <formula>IF($B37="Quoting",TRUE,FALSE)</formula>
    </cfRule>
    <cfRule type="expression" dxfId="1064" priority="1171">
      <formula>IF($B37="Quoting",TRUE,FALSE)</formula>
    </cfRule>
    <cfRule type="expression" dxfId="1063" priority="1172">
      <formula>IF($B37="Quoting",TRUE,FALSE)</formula>
    </cfRule>
    <cfRule type="expression" dxfId="1062" priority="1173">
      <formula>IF($B37="Quoting",TRUE,FALSE)</formula>
    </cfRule>
    <cfRule type="expression" dxfId="1061" priority="1174">
      <formula>IF($B37="Quoting",TRUE,FALSE)</formula>
    </cfRule>
    <cfRule type="expression" dxfId="1060" priority="1175">
      <formula>IF($B37="Quoting",TRUE,FALSE)</formula>
    </cfRule>
    <cfRule type="expression" dxfId="1059" priority="1176">
      <formula>IF($B37="Quoting",TRUE,FALSE)</formula>
    </cfRule>
    <cfRule type="expression" dxfId="1058" priority="1177">
      <formula>IF($B37="Quoting",TRUE,FALSE)</formula>
    </cfRule>
    <cfRule type="expression" dxfId="1057" priority="1178">
      <formula>IF($B37="Quoting",TRUE,FALSE)</formula>
    </cfRule>
    <cfRule type="expression" dxfId="1056" priority="1179">
      <formula>IF($B37="Quoting",TRUE,FALSE)</formula>
    </cfRule>
    <cfRule type="expression" dxfId="1055" priority="1180">
      <formula>IF($B37="Quoting",TRUE,FALSE)</formula>
    </cfRule>
    <cfRule type="expression" dxfId="1054" priority="1181">
      <formula>IF($B37="Quoting",TRUE,FALSE)</formula>
    </cfRule>
    <cfRule type="expression" dxfId="1053" priority="1182">
      <formula>IF($B37="Quoting",TRUE,FALSE)</formula>
    </cfRule>
    <cfRule type="expression" dxfId="1052" priority="1183">
      <formula>IF($B37="Quoting",TRUE,FALSE)</formula>
    </cfRule>
    <cfRule type="expression" dxfId="1051" priority="1184">
      <formula>IF($B37="Quoting",TRUE,FALSE)</formula>
    </cfRule>
    <cfRule type="expression" dxfId="1050" priority="1185">
      <formula>IF($B37="Quoting",TRUE,FALSE)</formula>
    </cfRule>
    <cfRule type="expression" dxfId="1049" priority="1186">
      <formula>IF($B37="Quoting",TRUE,FALSE)</formula>
    </cfRule>
    <cfRule type="expression" dxfId="1048" priority="1187">
      <formula>IF($B37="Quoting",TRUE,FALSE)</formula>
    </cfRule>
    <cfRule type="expression" dxfId="1047" priority="1188">
      <formula>IF($B37="Quoting",TRUE,FALSE)</formula>
    </cfRule>
    <cfRule type="expression" dxfId="1046" priority="1189">
      <formula>IF($B37="Quoting",TRUE,FALSE)</formula>
    </cfRule>
    <cfRule type="expression" dxfId="1045" priority="1190">
      <formula>IF($B37="Quoting",TRUE,FALSE)</formula>
    </cfRule>
    <cfRule type="expression" dxfId="1044" priority="1191">
      <formula>IF($B37="Quoting",TRUE,FALSE)</formula>
    </cfRule>
    <cfRule type="expression" dxfId="1043" priority="1192">
      <formula>IF($B37="Quoting",TRUE,FALSE)</formula>
    </cfRule>
    <cfRule type="expression" dxfId="1042" priority="1193">
      <formula>IF($B37="Quoting",TRUE,FALSE)</formula>
    </cfRule>
    <cfRule type="expression" dxfId="1041" priority="1194">
      <formula>IF($B37="Quoting",TRUE,FALSE)</formula>
    </cfRule>
    <cfRule type="expression" dxfId="1040" priority="1195">
      <formula>IF($B37="Quoting",TRUE,FALSE)</formula>
    </cfRule>
    <cfRule type="expression" dxfId="1039" priority="1196">
      <formula>IF($B37="Quoting",TRUE,FALSE)</formula>
    </cfRule>
    <cfRule type="expression" dxfId="1038" priority="1197">
      <formula>IF($B37="Quoting",TRUE,FALSE)</formula>
    </cfRule>
    <cfRule type="expression" dxfId="1037" priority="1198">
      <formula>IF($B37="Quoting",TRUE,FALSE)</formula>
    </cfRule>
    <cfRule type="expression" dxfId="1036" priority="1199">
      <formula>IF($B37="Quoting",TRUE,FALSE)</formula>
    </cfRule>
    <cfRule type="expression" dxfId="1035" priority="1200">
      <formula>IF($B37="Quoting",TRUE,FALSE)</formula>
    </cfRule>
    <cfRule type="expression" dxfId="1034" priority="1201">
      <formula>IF($B37="Quoting",TRUE,FALSE)</formula>
    </cfRule>
    <cfRule type="expression" dxfId="1033" priority="1202">
      <formula>IF($B37="Quoting",TRUE,FALSE)</formula>
    </cfRule>
    <cfRule type="expression" dxfId="1032" priority="1203">
      <formula>IF($B37="Quoting",TRUE,FALSE)</formula>
    </cfRule>
    <cfRule type="expression" dxfId="1031" priority="1204">
      <formula>IF($B37="Quoting",TRUE,FALSE)</formula>
    </cfRule>
    <cfRule type="expression" dxfId="1030" priority="1205">
      <formula>IF($B37="Quoting",TRUE,FALSE)</formula>
    </cfRule>
    <cfRule type="expression" dxfId="1029" priority="1206">
      <formula>IF($B37="Quoting",TRUE,FALSE)</formula>
    </cfRule>
    <cfRule type="expression" dxfId="1028" priority="1207">
      <formula>IF($B37="Quoting",TRUE,FALSE)</formula>
    </cfRule>
    <cfRule type="expression" dxfId="1027" priority="1208">
      <formula>IF($B37="Quoting",TRUE,FALSE)</formula>
    </cfRule>
    <cfRule type="expression" dxfId="1026" priority="1209">
      <formula>IF($B37="Quoting",TRUE,FALSE)</formula>
    </cfRule>
    <cfRule type="expression" dxfId="1025" priority="1210">
      <formula>IF($B37="Quoting",TRUE,FALSE)</formula>
    </cfRule>
    <cfRule type="expression" dxfId="1024" priority="1211">
      <formula>IF($B37="Quoting",TRUE,FALSE)</formula>
    </cfRule>
    <cfRule type="expression" dxfId="1023" priority="1212">
      <formula>IF($B37="Quoting",TRUE,FALSE)</formula>
    </cfRule>
    <cfRule type="expression" dxfId="1022" priority="1213">
      <formula>IF($B37="Quoting",TRUE,FALSE)</formula>
    </cfRule>
    <cfRule type="expression" dxfId="1021" priority="1214">
      <formula>IF($B37="Quoting",TRUE,FALSE)</formula>
    </cfRule>
    <cfRule type="expression" dxfId="1020" priority="1215">
      <formula>IF($B37="Quoting",TRUE,FALSE)</formula>
    </cfRule>
    <cfRule type="expression" dxfId="1019" priority="1216">
      <formula>IF($B37="Quoting",TRUE,FALSE)</formula>
    </cfRule>
    <cfRule type="expression" dxfId="1018" priority="1217">
      <formula>IF($B37="Quoting",TRUE,FALSE)</formula>
    </cfRule>
    <cfRule type="expression" dxfId="1017" priority="1218">
      <formula>IF($B37="Quoting",TRUE,FALSE)</formula>
    </cfRule>
    <cfRule type="expression" dxfId="1016" priority="1219">
      <formula>IF($B37="Quoting",TRUE,FALSE)</formula>
    </cfRule>
    <cfRule type="expression" dxfId="1015" priority="1220">
      <formula>IF($B37="Quoting",TRUE,FALSE)</formula>
    </cfRule>
    <cfRule type="expression" dxfId="1014" priority="1221">
      <formula>IF($B37="Quoting",TRUE,FALSE)</formula>
    </cfRule>
    <cfRule type="expression" dxfId="1013" priority="1222">
      <formula>IF($B37="Quoting",TRUE,FALSE)</formula>
    </cfRule>
    <cfRule type="expression" dxfId="1012" priority="1223">
      <formula>IF($B37="Quoting",TRUE,FALSE)</formula>
    </cfRule>
    <cfRule type="expression" dxfId="1011" priority="1224">
      <formula>IF($B37="Quoting",TRUE,FALSE)</formula>
    </cfRule>
    <cfRule type="expression" dxfId="1010" priority="1225">
      <formula>IF($B37="Quoting",TRUE,FALSE)</formula>
    </cfRule>
    <cfRule type="expression" dxfId="1009" priority="1226">
      <formula>IF($B37="Quoting",TRUE,FALSE)</formula>
    </cfRule>
    <cfRule type="expression" dxfId="1008" priority="1227">
      <formula>IF($B37="Quoting",TRUE,FALSE)</formula>
    </cfRule>
    <cfRule type="expression" dxfId="1007" priority="1228">
      <formula>IF($B37="Quoting",TRUE,FALSE)</formula>
    </cfRule>
    <cfRule type="expression" dxfId="1006" priority="1229">
      <formula>IF($B37="Quoting",TRUE,FALSE)</formula>
    </cfRule>
    <cfRule type="expression" dxfId="1005" priority="1230">
      <formula>IF($B37="Quoting",TRUE,FALSE)</formula>
    </cfRule>
    <cfRule type="expression" dxfId="1004" priority="1231">
      <formula>IF($B37="Quoting",TRUE,FALSE)</formula>
    </cfRule>
    <cfRule type="expression" dxfId="1003" priority="1232">
      <formula>IF($B37="Quoting",TRUE,FALSE)</formula>
    </cfRule>
    <cfRule type="expression" dxfId="1002" priority="1233">
      <formula>IF($B37="Quoting",TRUE,FALSE)</formula>
    </cfRule>
    <cfRule type="expression" dxfId="1001" priority="1234">
      <formula>IF($B37="Quoting",TRUE,FALSE)</formula>
    </cfRule>
    <cfRule type="expression" dxfId="1000" priority="1235">
      <formula>IF($B37="Quoting",TRUE,FALSE)</formula>
    </cfRule>
    <cfRule type="expression" dxfId="999" priority="1236">
      <formula>IF($B37="Quoting",TRUE,FALSE)</formula>
    </cfRule>
    <cfRule type="expression" dxfId="998" priority="1237">
      <formula>IF($B37="Quoting",TRUE,FALSE)</formula>
    </cfRule>
    <cfRule type="expression" dxfId="997" priority="1238">
      <formula>IF($B37="Quoting",TRUE,FALSE)</formula>
    </cfRule>
    <cfRule type="expression" dxfId="996" priority="1239">
      <formula>IF($B37="Quoting",TRUE,FALSE)</formula>
    </cfRule>
    <cfRule type="expression" dxfId="995" priority="1240">
      <formula>IF($B37="Quoting",TRUE,FALSE)</formula>
    </cfRule>
    <cfRule type="expression" dxfId="994" priority="1241">
      <formula>IF($B37="Quoting",TRUE,FALSE)</formula>
    </cfRule>
    <cfRule type="expression" dxfId="993" priority="1242">
      <formula>IF($B37="Quoting",TRUE,FALSE)</formula>
    </cfRule>
    <cfRule type="expression" dxfId="992" priority="1243">
      <formula>IF($B37="Quoting",TRUE,FALSE)</formula>
    </cfRule>
    <cfRule type="expression" dxfId="991" priority="1244">
      <formula>IF($B37="Quoting",TRUE,FALSE)</formula>
    </cfRule>
    <cfRule type="expression" dxfId="990" priority="1245">
      <formula>IF($B37="Quoting",TRUE,FALSE)</formula>
    </cfRule>
    <cfRule type="expression" dxfId="989" priority="1246">
      <formula>IF($B37="Quoting",TRUE,FALSE)</formula>
    </cfRule>
    <cfRule type="expression" dxfId="988" priority="1247">
      <formula>IF($B37="Quoting",TRUE,FALSE)</formula>
    </cfRule>
    <cfRule type="expression" dxfId="987" priority="1248">
      <formula>IF($B37="Quoting",TRUE,FALSE)</formula>
    </cfRule>
    <cfRule type="expression" dxfId="986" priority="1249">
      <formula>IF($B37="Quoting",TRUE,FALSE)</formula>
    </cfRule>
    <cfRule type="expression" dxfId="985" priority="1250">
      <formula>IF($B37="Quoting",TRUE,FALSE)</formula>
    </cfRule>
    <cfRule type="expression" dxfId="984" priority="1251">
      <formula>IF($B37="Quoting",TRUE,FALSE)</formula>
    </cfRule>
    <cfRule type="expression" dxfId="983" priority="1252">
      <formula>IF($B37="Quoting",TRUE,FALSE)</formula>
    </cfRule>
    <cfRule type="expression" dxfId="982" priority="1253">
      <formula>IF($B37="Quoting",TRUE,FALSE)</formula>
    </cfRule>
    <cfRule type="expression" dxfId="981" priority="1254">
      <formula>IF($B37="Quoting",TRUE,FALSE)</formula>
    </cfRule>
    <cfRule type="expression" dxfId="980" priority="1255">
      <formula>IF($B37="Quoting",TRUE,FALSE)</formula>
    </cfRule>
    <cfRule type="expression" dxfId="979" priority="1256">
      <formula>IF($B37="Quoting",TRUE,FALSE)</formula>
    </cfRule>
    <cfRule type="expression" dxfId="978" priority="1257">
      <formula>IF($B37="Quoting",TRUE,FALSE)</formula>
    </cfRule>
    <cfRule type="expression" dxfId="977" priority="1258">
      <formula>IF($B37="Quoting",TRUE,FALSE)</formula>
    </cfRule>
    <cfRule type="expression" dxfId="976" priority="1259">
      <formula>IF($B37="Quoting",TRUE,FALSE)</formula>
    </cfRule>
    <cfRule type="expression" dxfId="975" priority="1260">
      <formula>IF($B37="Quoting",TRUE,FALSE)</formula>
    </cfRule>
    <cfRule type="expression" dxfId="974" priority="1261">
      <formula>IF($B37="Quoting",TRUE,FALSE)</formula>
    </cfRule>
    <cfRule type="expression" dxfId="973" priority="1262">
      <formula>IF($B37="Quoting",TRUE,FALSE)</formula>
    </cfRule>
    <cfRule type="expression" dxfId="972" priority="1263">
      <formula>IF($B37="Quoting",TRUE,FALSE)</formula>
    </cfRule>
    <cfRule type="expression" dxfId="971" priority="1264">
      <formula>IF($B37="Quoting",TRUE,FALSE)</formula>
    </cfRule>
    <cfRule type="expression" dxfId="970" priority="1265">
      <formula>IF($B37="Quoting",TRUE,FALSE)</formula>
    </cfRule>
    <cfRule type="expression" dxfId="969" priority="1266">
      <formula>IF($B37="Quoting",TRUE,FALSE)</formula>
    </cfRule>
    <cfRule type="expression" dxfId="968" priority="1267">
      <formula>IF($B37="Quoting",TRUE,FALSE)</formula>
    </cfRule>
    <cfRule type="expression" dxfId="967" priority="1268">
      <formula>IF($B37="Quoting",TRUE,FALSE)</formula>
    </cfRule>
    <cfRule type="expression" dxfId="966" priority="1269">
      <formula>IF($B37="Quoting",TRUE,FALSE)</formula>
    </cfRule>
    <cfRule type="expression" dxfId="965" priority="1270">
      <formula>IF($B37="Quoting",TRUE,FALSE)</formula>
    </cfRule>
    <cfRule type="expression" dxfId="964" priority="1271">
      <formula>IF($B37="Quoting",TRUE,FALSE)</formula>
    </cfRule>
    <cfRule type="expression" dxfId="963" priority="1272">
      <formula>IF($B37="Quoting",TRUE,FALSE)</formula>
    </cfRule>
    <cfRule type="expression" dxfId="962" priority="1273">
      <formula>IF($B37="Quoting",TRUE,FALSE)</formula>
    </cfRule>
    <cfRule type="expression" dxfId="961" priority="1274">
      <formula>IF($B37="Quoting",TRUE,FALSE)</formula>
    </cfRule>
    <cfRule type="expression" dxfId="960" priority="1275">
      <formula>IF($B37="Quoting",TRUE,FALSE)</formula>
    </cfRule>
    <cfRule type="expression" dxfId="959" priority="1276">
      <formula>IF($B37="Quoting",TRUE,FALSE)</formula>
    </cfRule>
    <cfRule type="expression" dxfId="958" priority="1277">
      <formula>IF($B37="Quoting",TRUE,FALSE)</formula>
    </cfRule>
    <cfRule type="expression" dxfId="957" priority="1278">
      <formula>IF($B37="Quoting",TRUE,FALSE)</formula>
    </cfRule>
    <cfRule type="expression" dxfId="956" priority="1279">
      <formula>IF($B37="Quoting",TRUE,FALSE)</formula>
    </cfRule>
    <cfRule type="expression" dxfId="955" priority="1280">
      <formula>IF($B37="Quoting",TRUE,FALSE)</formula>
    </cfRule>
    <cfRule type="expression" dxfId="954" priority="1281">
      <formula>IF($B37="Quoting",TRUE,FALSE)</formula>
    </cfRule>
    <cfRule type="expression" dxfId="953" priority="1282">
      <formula>IF($B37="Quoting",TRUE,FALSE)</formula>
    </cfRule>
    <cfRule type="expression" dxfId="952" priority="1283">
      <formula>IF($B37="Quoting",TRUE,FALSE)</formula>
    </cfRule>
    <cfRule type="expression" dxfId="951" priority="1284">
      <formula>IF($B37="Quoting",TRUE,FALSE)</formula>
    </cfRule>
    <cfRule type="expression" dxfId="950" priority="1285">
      <formula>IF($B37="Quoting",TRUE,FALSE)</formula>
    </cfRule>
    <cfRule type="expression" dxfId="949" priority="1286">
      <formula>IF($B37="Quoting",TRUE,FALSE)</formula>
    </cfRule>
    <cfRule type="expression" dxfId="948" priority="1287">
      <formula>IF($B37="Quoting",TRUE,FALSE)</formula>
    </cfRule>
    <cfRule type="expression" dxfId="947" priority="1288">
      <formula>IF($B37="Quoting",TRUE,FALSE)</formula>
    </cfRule>
    <cfRule type="expression" dxfId="946" priority="1289">
      <formula>IF($B37="Quoting",TRUE,FALSE)</formula>
    </cfRule>
    <cfRule type="expression" dxfId="945" priority="1290">
      <formula>IF($B37="Quoting",TRUE,FALSE)</formula>
    </cfRule>
    <cfRule type="expression" dxfId="944" priority="1291">
      <formula>IF($B37="Quoting",TRUE,FALSE)</formula>
    </cfRule>
    <cfRule type="expression" dxfId="943" priority="1292">
      <formula>IF($B37="Quoting",TRUE,FALSE)</formula>
    </cfRule>
    <cfRule type="expression" dxfId="942" priority="1293">
      <formula>IF($B37="Quoting",TRUE,FALSE)</formula>
    </cfRule>
    <cfRule type="expression" dxfId="941" priority="1294">
      <formula>IF($B37="Quoting",TRUE,FALSE)</formula>
    </cfRule>
    <cfRule type="expression" dxfId="940" priority="1295">
      <formula>IF($B37="Quoting",TRUE,FALSE)</formula>
    </cfRule>
    <cfRule type="expression" dxfId="939" priority="1296">
      <formula>IF($B37="Quoting",TRUE,FALSE)</formula>
    </cfRule>
    <cfRule type="expression" dxfId="938" priority="1297">
      <formula>IF($B37="Quoting",TRUE,FALSE)</formula>
    </cfRule>
    <cfRule type="expression" dxfId="937" priority="1298">
      <formula>IF($B37="Quoting",TRUE,FALSE)</formula>
    </cfRule>
    <cfRule type="expression" dxfId="936" priority="1299">
      <formula>IF($B37="Quoting",TRUE,FALSE)</formula>
    </cfRule>
    <cfRule type="expression" dxfId="935" priority="1300">
      <formula>IF($B37="Quoting",TRUE,FALSE)</formula>
    </cfRule>
    <cfRule type="expression" dxfId="934" priority="1301">
      <formula>IF($B37="Quoting",TRUE,FALSE)</formula>
    </cfRule>
    <cfRule type="expression" dxfId="933" priority="1302">
      <formula>IF($B37="Quoting",TRUE,FALSE)</formula>
    </cfRule>
    <cfRule type="expression" dxfId="932" priority="1303">
      <formula>IF($B37="Quoting",TRUE,FALSE)</formula>
    </cfRule>
    <cfRule type="expression" dxfId="931" priority="1304">
      <formula>IF($B37="Quoting",TRUE,FALSE)</formula>
    </cfRule>
    <cfRule type="expression" dxfId="930" priority="1305">
      <formula>IF($B37="Quoting",TRUE,FALSE)</formula>
    </cfRule>
    <cfRule type="expression" dxfId="929" priority="1306">
      <formula>IF($B37="Quoting",TRUE,FALSE)</formula>
    </cfRule>
    <cfRule type="expression" dxfId="928" priority="1307">
      <formula>IF($B37="Quoting",TRUE,FALSE)</formula>
    </cfRule>
    <cfRule type="expression" dxfId="927" priority="1308">
      <formula>IF($B37="Quoting",TRUE,FALSE)</formula>
    </cfRule>
    <cfRule type="expression" dxfId="926" priority="1309">
      <formula>IF($B37="Quoting",TRUE,FALSE)</formula>
    </cfRule>
    <cfRule type="expression" dxfId="925" priority="1310">
      <formula>IF($B37="Quoting",TRUE,FALSE)</formula>
    </cfRule>
    <cfRule type="expression" dxfId="924" priority="1311">
      <formula>IF($B37="Quoting",TRUE,FALSE)</formula>
    </cfRule>
    <cfRule type="expression" dxfId="923" priority="1312">
      <formula>IF($B37="Quoting",TRUE,FALSE)</formula>
    </cfRule>
    <cfRule type="expression" dxfId="922" priority="1313">
      <formula>IF($B37="Quoting",TRUE,FALSE)</formula>
    </cfRule>
    <cfRule type="expression" dxfId="921" priority="1314">
      <formula>IF($B37="Quoting",TRUE,FALSE)</formula>
    </cfRule>
    <cfRule type="expression" dxfId="920" priority="1315">
      <formula>IF($B37="Quoting",TRUE,FALSE)</formula>
    </cfRule>
    <cfRule type="expression" dxfId="919" priority="1316">
      <formula>IF($B37="Quoting",TRUE,FALSE)</formula>
    </cfRule>
    <cfRule type="expression" dxfId="918" priority="1317">
      <formula>IF($B37="Quoting",TRUE,FALSE)</formula>
    </cfRule>
    <cfRule type="expression" dxfId="917" priority="1318">
      <formula>IF($B37="Quoting",TRUE,FALSE)</formula>
    </cfRule>
    <cfRule type="expression" dxfId="916" priority="1319">
      <formula>IF($B37="Quoting",TRUE,FALSE)</formula>
    </cfRule>
    <cfRule type="expression" dxfId="915" priority="1320">
      <formula>IF($B37="Quoting",TRUE,FALSE)</formula>
    </cfRule>
    <cfRule type="expression" dxfId="914" priority="1321">
      <formula>IF($B37="Quoting",TRUE,FALSE)</formula>
    </cfRule>
    <cfRule type="expression" dxfId="913" priority="1322">
      <formula>IF($B37="Quoting",TRUE,FALSE)</formula>
    </cfRule>
    <cfRule type="expression" dxfId="912" priority="1323">
      <formula>IF($B37="Quoting",TRUE,FALSE)</formula>
    </cfRule>
    <cfRule type="expression" dxfId="911" priority="1324">
      <formula>IF($B37="Quoting",TRUE,FALSE)</formula>
    </cfRule>
    <cfRule type="expression" dxfId="910" priority="1325">
      <formula>IF($B37="Quoting",TRUE,FALSE)</formula>
    </cfRule>
    <cfRule type="expression" dxfId="909" priority="1326">
      <formula>IF($B37="Quoting",TRUE,FALSE)</formula>
    </cfRule>
    <cfRule type="expression" dxfId="908" priority="1327">
      <formula>IF($B37="Quoting",TRUE,FALSE)</formula>
    </cfRule>
    <cfRule type="expression" dxfId="907" priority="1328">
      <formula>IF($B37="Quoting",TRUE,FALSE)</formula>
    </cfRule>
    <cfRule type="expression" dxfId="906" priority="1329">
      <formula>IF($B37="Quoting",TRUE,FALSE)</formula>
    </cfRule>
    <cfRule type="expression" dxfId="905" priority="1330">
      <formula>IF($B37="Quoting",TRUE,FALSE)</formula>
    </cfRule>
    <cfRule type="expression" dxfId="904" priority="1331">
      <formula>IF($B37="Quoting",TRUE,FALSE)</formula>
    </cfRule>
    <cfRule type="expression" dxfId="903" priority="1332">
      <formula>IF($B37="Quoting",TRUE,FALSE)</formula>
    </cfRule>
    <cfRule type="expression" dxfId="902" priority="1333">
      <formula>IF($B37="Quoting",TRUE,FALSE)</formula>
    </cfRule>
    <cfRule type="expression" dxfId="901" priority="1334">
      <formula>IF($B37="Quoting",TRUE,FALSE)</formula>
    </cfRule>
    <cfRule type="expression" dxfId="900" priority="1335">
      <formula>IF($B37="Quoting",TRUE,FALSE)</formula>
    </cfRule>
    <cfRule type="expression" dxfId="899" priority="1336">
      <formula>IF($B37="Quoting",TRUE,FALSE)</formula>
    </cfRule>
    <cfRule type="expression" dxfId="898" priority="1337">
      <formula>IF($B37="Quoting",TRUE,FALSE)</formula>
    </cfRule>
    <cfRule type="expression" dxfId="897" priority="1338">
      <formula>IF($B37="Quoting",TRUE,FALSE)</formula>
    </cfRule>
    <cfRule type="expression" dxfId="896" priority="1339">
      <formula>IF($B37="Quoting",TRUE,FALSE)</formula>
    </cfRule>
    <cfRule type="expression" dxfId="895" priority="1340">
      <formula>IF($B37="Quoting",TRUE,FALSE)</formula>
    </cfRule>
    <cfRule type="expression" dxfId="894" priority="1341">
      <formula>IF($B37="Quoting",TRUE,FALSE)</formula>
    </cfRule>
    <cfRule type="expression" dxfId="893" priority="1342">
      <formula>IF($B37="Quoting",TRUE,FALSE)</formula>
    </cfRule>
    <cfRule type="expression" dxfId="892" priority="1343">
      <formula>IF($B37="Quoting",TRUE,FALSE)</formula>
    </cfRule>
    <cfRule type="expression" dxfId="891" priority="1344">
      <formula>IF($B37="Quoting",TRUE,FALSE)</formula>
    </cfRule>
    <cfRule type="expression" dxfId="890" priority="1345">
      <formula>IF($B37="Quoting",TRUE,FALSE)</formula>
    </cfRule>
    <cfRule type="expression" dxfId="889" priority="1346">
      <formula>IF($B37="Quoting",TRUE,FALSE)</formula>
    </cfRule>
    <cfRule type="expression" dxfId="888" priority="1347">
      <formula>IF($B37="Quoting",TRUE,FALSE)</formula>
    </cfRule>
    <cfRule type="expression" dxfId="887" priority="1348">
      <formula>IF($B37="Quoting",TRUE,FALSE)</formula>
    </cfRule>
    <cfRule type="expression" dxfId="886" priority="1349">
      <formula>IF($B37="Quoting",TRUE,FALSE)</formula>
    </cfRule>
    <cfRule type="expression" dxfId="885" priority="1350">
      <formula>IF($B37="Quoting",TRUE,FALSE)</formula>
    </cfRule>
    <cfRule type="expression" dxfId="884" priority="1351">
      <formula>IF($B37="Quoting",TRUE,FALSE)</formula>
    </cfRule>
    <cfRule type="expression" dxfId="883" priority="1352">
      <formula>IF($B37="Quoting",TRUE,FALSE)</formula>
    </cfRule>
    <cfRule type="expression" dxfId="882" priority="1353">
      <formula>IF($B37="Quoting",TRUE,FALSE)</formula>
    </cfRule>
    <cfRule type="expression" dxfId="881" priority="1354">
      <formula>IF($B37="Quoting",TRUE,FALSE)</formula>
    </cfRule>
    <cfRule type="expression" dxfId="880" priority="1355">
      <formula>IF($B37="Quoting",TRUE,FALSE)</formula>
    </cfRule>
    <cfRule type="expression" dxfId="879" priority="1356">
      <formula>IF($B37="Quoting",TRUE,FALSE)</formula>
    </cfRule>
    <cfRule type="expression" dxfId="878" priority="1357">
      <formula>IF($B37="Quoting",TRUE,FALSE)</formula>
    </cfRule>
    <cfRule type="expression" dxfId="877" priority="1358">
      <formula>IF($B37="Quoting",TRUE,FALSE)</formula>
    </cfRule>
    <cfRule type="expression" dxfId="876" priority="1359">
      <formula>IF($B37="Quoting",TRUE,FALSE)</formula>
    </cfRule>
    <cfRule type="expression" dxfId="875" priority="1360">
      <formula>IF($B37="Quoting",TRUE,FALSE)</formula>
    </cfRule>
    <cfRule type="expression" dxfId="874" priority="1361">
      <formula>IF($B37="Quoting",TRUE,FALSE)</formula>
    </cfRule>
    <cfRule type="expression" dxfId="873" priority="1362">
      <formula>IF($B37="Quoting",TRUE,FALSE)</formula>
    </cfRule>
    <cfRule type="expression" dxfId="872" priority="1363">
      <formula>IF($B37="Quoting",TRUE,FALSE)</formula>
    </cfRule>
    <cfRule type="expression" dxfId="871" priority="1364">
      <formula>IF($B37="Quoting",TRUE,FALSE)</formula>
    </cfRule>
    <cfRule type="expression" dxfId="870" priority="1365">
      <formula>IF($B37="Quoting",TRUE,FALSE)</formula>
    </cfRule>
    <cfRule type="expression" dxfId="869" priority="1366">
      <formula>IF($B37="Quoting",TRUE,FALSE)</formula>
    </cfRule>
    <cfRule type="expression" dxfId="868" priority="1367">
      <formula>IF($B37="Quoting",TRUE,FALSE)</formula>
    </cfRule>
    <cfRule type="expression" dxfId="867" priority="1368">
      <formula>IF($B37="Quoting",TRUE,FALSE)</formula>
    </cfRule>
    <cfRule type="expression" dxfId="866" priority="1369">
      <formula>IF($B37="Quoting",TRUE,FALSE)</formula>
    </cfRule>
    <cfRule type="expression" dxfId="865" priority="1370">
      <formula>IF($B37="Quoting",TRUE,FALSE)</formula>
    </cfRule>
    <cfRule type="expression" dxfId="864" priority="1371">
      <formula>IF($B37="Quoting",TRUE,FALSE)</formula>
    </cfRule>
    <cfRule type="expression" dxfId="863" priority="1372">
      <formula>IF($B37="Quoting",TRUE,FALSE)</formula>
    </cfRule>
    <cfRule type="expression" dxfId="862" priority="1373">
      <formula>IF($B37="Quoting",TRUE,FALSE)</formula>
    </cfRule>
    <cfRule type="expression" dxfId="861" priority="1374">
      <formula>IF($B37="Quoting",TRUE,FALSE)</formula>
    </cfRule>
    <cfRule type="expression" dxfId="860" priority="1375">
      <formula>IF($B37="Quoting",TRUE,FALSE)</formula>
    </cfRule>
    <cfRule type="expression" dxfId="859" priority="1376">
      <formula>IF($B37="Quoting",TRUE,FALSE)</formula>
    </cfRule>
    <cfRule type="expression" dxfId="858" priority="1377">
      <formula>IF($B37="Quoting",TRUE,FALSE)</formula>
    </cfRule>
    <cfRule type="expression" dxfId="857" priority="1378">
      <formula>IF($B37="Quoting",TRUE,FALSE)</formula>
    </cfRule>
    <cfRule type="expression" dxfId="856" priority="1379">
      <formula>IF($B37="Quoting",TRUE,FALSE)</formula>
    </cfRule>
    <cfRule type="expression" dxfId="855" priority="1380">
      <formula>IF($B37="Quoting",TRUE,FALSE)</formula>
    </cfRule>
    <cfRule type="expression" dxfId="854" priority="1381">
      <formula>IF($B37="Quoting",TRUE,FALSE)</formula>
    </cfRule>
    <cfRule type="expression" dxfId="853" priority="1382">
      <formula>IF($B37="Quoting",TRUE,FALSE)</formula>
    </cfRule>
    <cfRule type="expression" dxfId="852" priority="1383">
      <formula>IF($B37="Quoting",TRUE,FALSE)</formula>
    </cfRule>
    <cfRule type="expression" dxfId="851" priority="1384">
      <formula>IF($B37="Quoting",TRUE,FALSE)</formula>
    </cfRule>
    <cfRule type="expression" dxfId="850" priority="1385">
      <formula>IF($B37="Quoting",TRUE,FALSE)</formula>
    </cfRule>
    <cfRule type="expression" dxfId="849" priority="1386">
      <formula>IF($B37="Quoting",TRUE,FALSE)</formula>
    </cfRule>
    <cfRule type="expression" dxfId="848" priority="1387">
      <formula>IF($B37="Quoting",TRUE,FALSE)</formula>
    </cfRule>
    <cfRule type="expression" dxfId="847" priority="1388">
      <formula>IF($B37="Quoting",TRUE,FALSE)</formula>
    </cfRule>
    <cfRule type="expression" dxfId="846" priority="1389">
      <formula>IF($B37="Quoting",TRUE,FALSE)</formula>
    </cfRule>
    <cfRule type="expression" dxfId="845" priority="1390">
      <formula>IF($B37="Quoting",TRUE,FALSE)</formula>
    </cfRule>
    <cfRule type="expression" dxfId="844" priority="1391">
      <formula>IF($B37="Quoting",TRUE,FALSE)</formula>
    </cfRule>
    <cfRule type="expression" dxfId="843" priority="1392">
      <formula>IF($B37="Quoting",TRUE,FALSE)</formula>
    </cfRule>
    <cfRule type="expression" dxfId="842" priority="1393">
      <formula>IF($B37="Quoting",TRUE,FALSE)</formula>
    </cfRule>
    <cfRule type="expression" dxfId="841" priority="1394">
      <formula>IF($B37="Quoting",TRUE,FALSE)</formula>
    </cfRule>
    <cfRule type="expression" dxfId="840" priority="1395">
      <formula>IF($B37="Quoting",TRUE,FALSE)</formula>
    </cfRule>
    <cfRule type="expression" dxfId="839" priority="1396">
      <formula>IF($B37="Quoting",TRUE,FALSE)</formula>
    </cfRule>
    <cfRule type="expression" dxfId="838" priority="1397">
      <formula>IF($B37="Quoting",TRUE,FALSE)</formula>
    </cfRule>
    <cfRule type="expression" dxfId="837" priority="1398">
      <formula>IF($B37="Quoting",TRUE,FALSE)</formula>
    </cfRule>
    <cfRule type="expression" dxfId="836" priority="1399">
      <formula>IF($B37="Quoting",TRUE,FALSE)</formula>
    </cfRule>
    <cfRule type="expression" dxfId="835" priority="1400">
      <formula>IF($B37="Quoting",TRUE,FALSE)</formula>
    </cfRule>
    <cfRule type="expression" dxfId="834" priority="1401">
      <formula>IF($B37="Quoting",TRUE,FALSE)</formula>
    </cfRule>
    <cfRule type="expression" dxfId="833" priority="1402">
      <formula>IF($B37="Quoting",TRUE,FALSE)</formula>
    </cfRule>
    <cfRule type="expression" dxfId="832" priority="1403">
      <formula>IF($B37="Quoting",TRUE,FALSE)</formula>
    </cfRule>
    <cfRule type="expression" dxfId="831" priority="1404">
      <formula>IF($B37="Quoting",TRUE,FALSE)</formula>
    </cfRule>
    <cfRule type="expression" dxfId="830" priority="1405">
      <formula>IF($B37="Quoting",TRUE,FALSE)</formula>
    </cfRule>
    <cfRule type="expression" dxfId="829" priority="1406">
      <formula>IF($B37="Quoting",TRUE,FALSE)</formula>
    </cfRule>
    <cfRule type="expression" dxfId="828" priority="1407">
      <formula>IF($B37="Quoting",TRUE,FALSE)</formula>
    </cfRule>
    <cfRule type="expression" dxfId="827" priority="1408">
      <formula>IF($B37="Quoting",TRUE,FALSE)</formula>
    </cfRule>
    <cfRule type="expression" dxfId="826" priority="1409">
      <formula>IF($B37="Quoting",TRUE,FALSE)</formula>
    </cfRule>
    <cfRule type="expression" dxfId="825" priority="1410">
      <formula>IF($B37="Quoting",TRUE,FALSE)</formula>
    </cfRule>
    <cfRule type="expression" dxfId="824" priority="1411">
      <formula>IF($B37="Quoting",TRUE,FALSE)</formula>
    </cfRule>
    <cfRule type="expression" dxfId="823" priority="1412">
      <formula>IF($B37="Quoting",TRUE,FALSE)</formula>
    </cfRule>
    <cfRule type="expression" dxfId="822" priority="1413">
      <formula>IF($B37="Quoting",TRUE,FALSE)</formula>
    </cfRule>
    <cfRule type="expression" dxfId="821" priority="1414">
      <formula>IF($B37="Quoting",TRUE,FALSE)</formula>
    </cfRule>
    <cfRule type="expression" dxfId="820" priority="1415">
      <formula>IF($B37="Quoting",TRUE,FALSE)</formula>
    </cfRule>
    <cfRule type="expression" dxfId="819" priority="1416">
      <formula>IF($B37="Quoting",TRUE,FALSE)</formula>
    </cfRule>
    <cfRule type="expression" dxfId="818" priority="1417">
      <formula>IF($B37="Quoting",TRUE,FALSE)</formula>
    </cfRule>
    <cfRule type="expression" dxfId="817" priority="1418">
      <formula>IF($B37="Quoting",TRUE,FALSE)</formula>
    </cfRule>
    <cfRule type="expression" dxfId="816" priority="1419">
      <formula>IF($B37="Quoting",TRUE,FALSE)</formula>
    </cfRule>
    <cfRule type="expression" dxfId="815" priority="1420">
      <formula>IF($B37="Quoting",TRUE,FALSE)</formula>
    </cfRule>
    <cfRule type="expression" dxfId="814" priority="1421">
      <formula>IF($B37="Quoting",TRUE,FALSE)</formula>
    </cfRule>
    <cfRule type="expression" dxfId="813" priority="1422">
      <formula>IF($B37="Quoting",TRUE,FALSE)</formula>
    </cfRule>
    <cfRule type="expression" dxfId="812" priority="1423">
      <formula>IF($B37="Quoting",TRUE,FALSE)</formula>
    </cfRule>
    <cfRule type="expression" dxfId="811" priority="1424">
      <formula>IF($B37="Quoting",TRUE,FALSE)</formula>
    </cfRule>
    <cfRule type="expression" dxfId="810" priority="1425">
      <formula>IF($B37="Quoting",TRUE,FALSE)</formula>
    </cfRule>
    <cfRule type="expression" dxfId="809" priority="1426">
      <formula>IF($B37="Quoting",TRUE,FALSE)</formula>
    </cfRule>
    <cfRule type="expression" dxfId="808" priority="1427">
      <formula>IF($B37="Quoting",TRUE,FALSE)</formula>
    </cfRule>
    <cfRule type="expression" dxfId="807" priority="1428">
      <formula>IF($B37="Quoting",TRUE,FALSE)</formula>
    </cfRule>
    <cfRule type="expression" dxfId="806" priority="1429">
      <formula>IF($B37="Quoting",TRUE,FALSE)</formula>
    </cfRule>
    <cfRule type="expression" dxfId="805" priority="1430">
      <formula>IF($B37="Quoting",TRUE,FALSE)</formula>
    </cfRule>
    <cfRule type="expression" dxfId="804" priority="1431">
      <formula>IF($B37="Quoting",TRUE,FALSE)</formula>
    </cfRule>
    <cfRule type="expression" dxfId="803" priority="1432">
      <formula>IF($B37="Quoting",TRUE,FALSE)</formula>
    </cfRule>
    <cfRule type="expression" dxfId="802" priority="1433">
      <formula>IF($B37="Quoting",TRUE,FALSE)</formula>
    </cfRule>
    <cfRule type="expression" dxfId="801" priority="1434">
      <formula>IF($B37="Quoting",TRUE,FALSE)</formula>
    </cfRule>
    <cfRule type="expression" dxfId="800" priority="1435">
      <formula>IF($B37="Quoting",TRUE,FALSE)</formula>
    </cfRule>
    <cfRule type="expression" dxfId="799" priority="1436">
      <formula>IF($B37="Quoting",TRUE,FALSE)</formula>
    </cfRule>
    <cfRule type="expression" dxfId="798" priority="1437">
      <formula>IF($B37="Quoting",TRUE,FALSE)</formula>
    </cfRule>
    <cfRule type="expression" dxfId="797" priority="1438">
      <formula>IF($B37="Quoting",TRUE,FALSE)</formula>
    </cfRule>
    <cfRule type="expression" dxfId="796" priority="1439">
      <formula>IF($B37="Quoting",TRUE,FALSE)</formula>
    </cfRule>
    <cfRule type="expression" dxfId="795" priority="1440">
      <formula>IF($B37="Quoting",TRUE,FALSE)</formula>
    </cfRule>
    <cfRule type="expression" dxfId="794" priority="1441">
      <formula>IF($B37="Quoting",TRUE,FALSE)</formula>
    </cfRule>
    <cfRule type="expression" dxfId="793" priority="1442">
      <formula>IF($B37="Quoting",TRUE,FALSE)</formula>
    </cfRule>
    <cfRule type="expression" dxfId="792" priority="1443">
      <formula>IF($B37="Quoting",TRUE,FALSE)</formula>
    </cfRule>
    <cfRule type="expression" dxfId="791" priority="1444">
      <formula>IF($B37="Quoting",TRUE,FALSE)</formula>
    </cfRule>
    <cfRule type="expression" dxfId="790" priority="1445">
      <formula>IF($B37="Quoting",TRUE,FALSE)</formula>
    </cfRule>
    <cfRule type="expression" dxfId="789" priority="1446">
      <formula>IF($B37="Quoting",TRUE,FALSE)</formula>
    </cfRule>
    <cfRule type="expression" dxfId="788" priority="1447">
      <formula>IF($B37="Quoting",TRUE,FALSE)</formula>
    </cfRule>
    <cfRule type="expression" dxfId="787" priority="1448">
      <formula>IF($B37="Quoting",TRUE,FALSE)</formula>
    </cfRule>
    <cfRule type="expression" dxfId="786" priority="1449">
      <formula>IF($B37="Quoting",TRUE,FALSE)</formula>
    </cfRule>
    <cfRule type="expression" dxfId="785" priority="1450">
      <formula>IF($B37="Quoting",TRUE,FALSE)</formula>
    </cfRule>
    <cfRule type="expression" dxfId="784" priority="1451">
      <formula>IF($B37="Quoting",TRUE,FALSE)</formula>
    </cfRule>
    <cfRule type="expression" dxfId="783" priority="1452">
      <formula>IF($B37="Quoting",TRUE,FALSE)</formula>
    </cfRule>
    <cfRule type="expression" dxfId="782" priority="1453">
      <formula>IF($B37="Quoting",TRUE,FALSE)</formula>
    </cfRule>
    <cfRule type="expression" dxfId="781" priority="1454">
      <formula>IF($B37="Quoting",TRUE,FALSE)</formula>
    </cfRule>
    <cfRule type="expression" dxfId="780" priority="1455">
      <formula>IF($B37="Quoting",TRUE,FALSE)</formula>
    </cfRule>
    <cfRule type="expression" dxfId="779" priority="1456">
      <formula>IF($B37="Quoting",TRUE,FALSE)</formula>
    </cfRule>
    <cfRule type="expression" dxfId="778" priority="1457">
      <formula>IF($B37="Quoting",TRUE,FALSE)</formula>
    </cfRule>
    <cfRule type="expression" dxfId="777" priority="1458">
      <formula>IF($B37="Quoting",TRUE,FALSE)</formula>
    </cfRule>
    <cfRule type="expression" dxfId="776" priority="1459">
      <formula>IF($B37="Quoting",TRUE,FALSE)</formula>
    </cfRule>
    <cfRule type="expression" dxfId="775" priority="1460">
      <formula>IF($B37="Quoting",TRUE,FALSE)</formula>
    </cfRule>
    <cfRule type="expression" dxfId="774" priority="1461">
      <formula>IF($B37="Quoting",TRUE,FALSE)</formula>
    </cfRule>
    <cfRule type="expression" dxfId="773" priority="1462">
      <formula>IF($B37="Quoting",TRUE,FALSE)</formula>
    </cfRule>
    <cfRule type="expression" dxfId="772" priority="1463">
      <formula>IF($B37="Quoting",TRUE,FALSE)</formula>
    </cfRule>
    <cfRule type="expression" dxfId="771" priority="1464">
      <formula>IF($B37="Quoting",TRUE,FALSE)</formula>
    </cfRule>
    <cfRule type="expression" dxfId="770" priority="1465">
      <formula>IF($B37="Quoting",TRUE,FALSE)</formula>
    </cfRule>
    <cfRule type="expression" dxfId="769" priority="1466">
      <formula>IF($B37="Quoting",TRUE,FALSE)</formula>
    </cfRule>
    <cfRule type="expression" dxfId="768" priority="1467">
      <formula>IF($B37="Quoting",TRUE,FALSE)</formula>
    </cfRule>
    <cfRule type="expression" dxfId="767" priority="1468">
      <formula>IF($B37="Quoting",TRUE,FALSE)</formula>
    </cfRule>
    <cfRule type="expression" dxfId="766" priority="1469">
      <formula>IF($B37="Quoting",TRUE,FALSE)</formula>
    </cfRule>
    <cfRule type="expression" dxfId="765" priority="1470">
      <formula>IF($B37="Quoting",TRUE,FALSE)</formula>
    </cfRule>
    <cfRule type="expression" dxfId="764" priority="1471">
      <formula>IF($B37="Quoting",TRUE,FALSE)</formula>
    </cfRule>
    <cfRule type="expression" dxfId="763" priority="1472">
      <formula>IF($B37="Quoting",TRUE,FALSE)</formula>
    </cfRule>
    <cfRule type="expression" dxfId="762" priority="1473">
      <formula>IF($B37="Quoting",TRUE,FALSE)</formula>
    </cfRule>
    <cfRule type="expression" dxfId="761" priority="1474">
      <formula>IF($B37="Quoting",TRUE,FALSE)</formula>
    </cfRule>
    <cfRule type="expression" dxfId="760" priority="1475">
      <formula>IF($B37="Quoting",TRUE,FALSE)</formula>
    </cfRule>
    <cfRule type="expression" dxfId="759" priority="1476">
      <formula>IF($B37="Quoting",TRUE,FALSE)</formula>
    </cfRule>
    <cfRule type="expression" dxfId="758" priority="1477">
      <formula>IF($B37="Quoting",TRUE,FALSE)</formula>
    </cfRule>
    <cfRule type="expression" dxfId="757" priority="1478">
      <formula>IF($B37="Quoting",TRUE,FALSE)</formula>
    </cfRule>
    <cfRule type="expression" dxfId="756" priority="1479">
      <formula>IF($B37="Quoting",TRUE,FALSE)</formula>
    </cfRule>
    <cfRule type="expression" dxfId="755" priority="1480">
      <formula>IF($B37="Quoting",TRUE,FALSE)</formula>
    </cfRule>
    <cfRule type="expression" dxfId="754" priority="1481">
      <formula>IF($B37="Quoting",TRUE,FALSE)</formula>
    </cfRule>
    <cfRule type="expression" dxfId="753" priority="1482">
      <formula>IF($B37="Quoting",TRUE,FALSE)</formula>
    </cfRule>
    <cfRule type="expression" dxfId="752" priority="1483">
      <formula>IF($B37="Quoting",TRUE,FALSE)</formula>
    </cfRule>
    <cfRule type="expression" dxfId="751" priority="1484">
      <formula>IF($B37="Quoting",TRUE,FALSE)</formula>
    </cfRule>
    <cfRule type="expression" dxfId="750" priority="1485">
      <formula>IF($B37="Quoting",TRUE,FALSE)</formula>
    </cfRule>
    <cfRule type="expression" dxfId="749" priority="1486">
      <formula>IF($B37="Quoting",TRUE,FALSE)</formula>
    </cfRule>
    <cfRule type="expression" dxfId="748" priority="1487">
      <formula>IF($B37="Quoting",TRUE,FALSE)</formula>
    </cfRule>
    <cfRule type="expression" dxfId="747" priority="1488">
      <formula>IF($B37="Quoting",TRUE,FALSE)</formula>
    </cfRule>
    <cfRule type="expression" dxfId="746" priority="1489">
      <formula>IF($B37="Quoting",TRUE,FALSE)</formula>
    </cfRule>
    <cfRule type="expression" dxfId="745" priority="1490">
      <formula>IF($B37="Quoting",TRUE,FALSE)</formula>
    </cfRule>
    <cfRule type="expression" dxfId="744" priority="1491">
      <formula>IF($B37="Quoting",TRUE,FALSE)</formula>
    </cfRule>
    <cfRule type="expression" dxfId="743" priority="1492">
      <formula>IF($B37="Quoting",TRUE,FALSE)</formula>
    </cfRule>
    <cfRule type="expression" dxfId="742" priority="1493">
      <formula>IF($B37="Quoting",TRUE,FALSE)</formula>
    </cfRule>
    <cfRule type="expression" dxfId="741" priority="1494">
      <formula>IF($B37="Quoting",TRUE,FALSE)</formula>
    </cfRule>
    <cfRule type="expression" dxfId="740" priority="1495">
      <formula>IF($B37="Quoting",TRUE,FALSE)</formula>
    </cfRule>
    <cfRule type="expression" dxfId="739" priority="1496">
      <formula>IF($B37="Quoting",TRUE,FALSE)</formula>
    </cfRule>
    <cfRule type="expression" dxfId="738" priority="1497">
      <formula>IF($B37="Quoting",TRUE,FALSE)</formula>
    </cfRule>
    <cfRule type="expression" dxfId="737" priority="1498">
      <formula>IF($B37="Quoting",TRUE,FALSE)</formula>
    </cfRule>
    <cfRule type="expression" dxfId="736" priority="1499">
      <formula>IF($B37="Quoting",TRUE,FALSE)</formula>
    </cfRule>
    <cfRule type="expression" dxfId="735" priority="1500">
      <formula>IF($B37="Quoting",TRUE,FALSE)</formula>
    </cfRule>
    <cfRule type="expression" dxfId="734" priority="1501">
      <formula>IF($B37="Quoting",TRUE,FALSE)</formula>
    </cfRule>
    <cfRule type="expression" dxfId="733" priority="1502">
      <formula>IF($B37="Quoting",TRUE,FALSE)</formula>
    </cfRule>
    <cfRule type="expression" dxfId="732" priority="1503">
      <formula>IF($B37="Quoting",TRUE,FALSE)</formula>
    </cfRule>
    <cfRule type="expression" dxfId="731" priority="1504">
      <formula>IF($B37="Quoting",TRUE,FALSE)</formula>
    </cfRule>
    <cfRule type="expression" dxfId="730" priority="1505">
      <formula>IF($B37="Quoting",TRUE,FALSE)</formula>
    </cfRule>
    <cfRule type="expression" dxfId="729" priority="1506">
      <formula>IF($B37="Quoting",TRUE,FALSE)</formula>
    </cfRule>
    <cfRule type="expression" dxfId="728" priority="1507">
      <formula>IF($B37="Quoting",TRUE,FALSE)</formula>
    </cfRule>
    <cfRule type="expression" dxfId="727" priority="1508">
      <formula>IF($B37="Quoting",TRUE,FALSE)</formula>
    </cfRule>
    <cfRule type="expression" dxfId="726" priority="1509">
      <formula>IF($B37="Quoting",TRUE,FALSE)</formula>
    </cfRule>
    <cfRule type="expression" dxfId="725" priority="1510">
      <formula>IF($B37="Quoting",TRUE,FALSE)</formula>
    </cfRule>
    <cfRule type="expression" dxfId="724" priority="1511">
      <formula>IF($B37="Quoting",TRUE,FALSE)</formula>
    </cfRule>
    <cfRule type="expression" dxfId="723" priority="1512">
      <formula>IF($B37="Quoting",TRUE,FALSE)</formula>
    </cfRule>
    <cfRule type="expression" dxfId="722" priority="1513">
      <formula>IF($B37="Quoting",TRUE,FALSE)</formula>
    </cfRule>
    <cfRule type="expression" dxfId="721" priority="1514">
      <formula>IF($B37="Quoting",TRUE,FALSE)</formula>
    </cfRule>
    <cfRule type="expression" dxfId="720" priority="1515">
      <formula>IF($B37="Quoting",TRUE,FALSE)</formula>
    </cfRule>
    <cfRule type="expression" dxfId="719" priority="1516">
      <formula>IF($B37="Quoting",TRUE,FALSE)</formula>
    </cfRule>
    <cfRule type="expression" dxfId="718" priority="1517">
      <formula>IF($B37="Quoting",TRUE,FALSE)</formula>
    </cfRule>
    <cfRule type="expression" dxfId="717" priority="1518">
      <formula>IF($B37="Quoting",TRUE,FALSE)</formula>
    </cfRule>
    <cfRule type="expression" dxfId="716" priority="1519">
      <formula>IF($B37="Quoting",TRUE,FALSE)</formula>
    </cfRule>
    <cfRule type="expression" dxfId="715" priority="1520">
      <formula>IF($B37="Quoting",TRUE,FALSE)</formula>
    </cfRule>
    <cfRule type="expression" dxfId="714" priority="1521">
      <formula>IF($B37="Quoting",TRUE,FALSE)</formula>
    </cfRule>
    <cfRule type="expression" dxfId="713" priority="1522">
      <formula>IF($B37="Quoting",TRUE,FALSE)</formula>
    </cfRule>
    <cfRule type="expression" dxfId="712" priority="1523">
      <formula>IF($B37="Quoting",TRUE,FALSE)</formula>
    </cfRule>
    <cfRule type="expression" dxfId="711" priority="1524">
      <formula>IF($B37="Quoting",TRUE,FALSE)</formula>
    </cfRule>
    <cfRule type="expression" dxfId="710" priority="1525">
      <formula>IF($B37="Quoting",TRUE,FALSE)</formula>
    </cfRule>
    <cfRule type="expression" dxfId="709" priority="1526">
      <formula>IF($B37="Quoting",TRUE,FALSE)</formula>
    </cfRule>
    <cfRule type="expression" dxfId="708" priority="1527">
      <formula>IF($B37="Quoting",TRUE,FALSE)</formula>
    </cfRule>
    <cfRule type="expression" dxfId="707" priority="1528">
      <formula>IF($B37="Quoting",TRUE,FALSE)</formula>
    </cfRule>
    <cfRule type="expression" dxfId="706" priority="1529">
      <formula>IF($B37="Quoting",TRUE,FALSE)</formula>
    </cfRule>
    <cfRule type="expression" dxfId="705" priority="1530">
      <formula>IF($B37="Quoting",TRUE,FALSE)</formula>
    </cfRule>
    <cfRule type="expression" dxfId="704" priority="1531">
      <formula>IF($B37="Quoting",TRUE,FALSE)</formula>
    </cfRule>
    <cfRule type="expression" dxfId="703" priority="1532">
      <formula>IF($B37="Quoting",TRUE,FALSE)</formula>
    </cfRule>
    <cfRule type="expression" dxfId="702" priority="1533">
      <formula>IF($B37="Quoting",TRUE,FALSE)</formula>
    </cfRule>
    <cfRule type="expression" dxfId="701" priority="1534">
      <formula>IF($B37="Quoting",TRUE,FALSE)</formula>
    </cfRule>
    <cfRule type="expression" dxfId="700" priority="1535">
      <formula>IF($B37="Quoting",TRUE,FALSE)</formula>
    </cfRule>
    <cfRule type="expression" dxfId="699" priority="1536">
      <formula>IF($B37="Quoting",TRUE,FALSE)</formula>
    </cfRule>
    <cfRule type="expression" dxfId="698" priority="1537">
      <formula>IF($B37="Quoting",TRUE,FALSE)</formula>
    </cfRule>
    <cfRule type="expression" dxfId="697" priority="1538">
      <formula>IF($B37="Quoting",TRUE,FALSE)</formula>
    </cfRule>
    <cfRule type="expression" dxfId="696" priority="1539">
      <formula>IF($B37="Quoting",TRUE,FALSE)</formula>
    </cfRule>
    <cfRule type="expression" dxfId="695" priority="1540">
      <formula>IF($B37="Quoting",TRUE,FALSE)</formula>
    </cfRule>
    <cfRule type="expression" dxfId="694" priority="1541">
      <formula>IF($B37="Quoting",TRUE,FALSE)</formula>
    </cfRule>
    <cfRule type="expression" dxfId="693" priority="1542">
      <formula>IF($B37="Quoting",TRUE,FALSE)</formula>
    </cfRule>
    <cfRule type="expression" dxfId="692" priority="1543">
      <formula>IF($B37="Quoting",TRUE,FALSE)</formula>
    </cfRule>
    <cfRule type="expression" dxfId="691" priority="1544">
      <formula>IF($B37="Quoting",TRUE,FALSE)</formula>
    </cfRule>
    <cfRule type="expression" dxfId="690" priority="1545">
      <formula>IF($B37="Quoting",TRUE,FALSE)</formula>
    </cfRule>
    <cfRule type="expression" dxfId="689" priority="1546">
      <formula>IF($B37="Quoting",TRUE,FALSE)</formula>
    </cfRule>
    <cfRule type="expression" dxfId="688" priority="1547">
      <formula>IF($B37="Quoting",TRUE,FALSE)</formula>
    </cfRule>
    <cfRule type="expression" dxfId="687" priority="1548">
      <formula>IF($B37="Quoting",TRUE,FALSE)</formula>
    </cfRule>
    <cfRule type="expression" dxfId="686" priority="1549">
      <formula>IF($B37="Quoting",TRUE,FALSE)</formula>
    </cfRule>
    <cfRule type="expression" dxfId="685" priority="1550">
      <formula>IF($B37="Quoting",TRUE,FALSE)</formula>
    </cfRule>
    <cfRule type="expression" dxfId="684" priority="1551">
      <formula>IF($B37="Quoting",TRUE,FALSE)</formula>
    </cfRule>
    <cfRule type="expression" dxfId="683" priority="1552">
      <formula>IF($B37="Quoting",TRUE,FALSE)</formula>
    </cfRule>
    <cfRule type="expression" dxfId="682" priority="1553">
      <formula>IF($B37="Quoting",TRUE,FALSE)</formula>
    </cfRule>
    <cfRule type="expression" dxfId="681" priority="1554">
      <formula>IF($B37="Quoting",TRUE,FALSE)</formula>
    </cfRule>
    <cfRule type="expression" dxfId="680" priority="1555">
      <formula>IF($B37="Quoting",TRUE,FALSE)</formula>
    </cfRule>
    <cfRule type="expression" dxfId="679" priority="1556">
      <formula>IF($B37="Quoting",TRUE,FALSE)</formula>
    </cfRule>
    <cfRule type="expression" dxfId="678" priority="1557">
      <formula>IF($B37="Quoting",TRUE,FALSE)</formula>
    </cfRule>
    <cfRule type="expression" dxfId="677" priority="1558">
      <formula>IF($B37="Quoting",TRUE,FALSE)</formula>
    </cfRule>
    <cfRule type="expression" dxfId="676" priority="1559">
      <formula>IF($B37="Quoting",TRUE,FALSE)</formula>
    </cfRule>
    <cfRule type="expression" dxfId="675" priority="1560">
      <formula>IF($B37="Quoting",TRUE,FALSE)</formula>
    </cfRule>
    <cfRule type="expression" dxfId="674" priority="1561">
      <formula>IF($B37="Quoting",TRUE,FALSE)</formula>
    </cfRule>
    <cfRule type="expression" dxfId="673" priority="1562">
      <formula>IF($B37="Quoting",TRUE,FALSE)</formula>
    </cfRule>
    <cfRule type="expression" dxfId="672" priority="1563">
      <formula>IF($B37="Quoting",TRUE,FALSE)</formula>
    </cfRule>
    <cfRule type="expression" dxfId="671" priority="1564">
      <formula>IF($B37="Quoting",TRUE,FALSE)</formula>
    </cfRule>
    <cfRule type="expression" dxfId="670" priority="1565">
      <formula>IF($B37="Quoting",TRUE,FALSE)</formula>
    </cfRule>
    <cfRule type="expression" dxfId="669" priority="1566">
      <formula>IF($B37="Quoting",TRUE,FALSE)</formula>
    </cfRule>
    <cfRule type="expression" dxfId="668" priority="1567">
      <formula>IF($B37="Quoting",TRUE,FALSE)</formula>
    </cfRule>
    <cfRule type="expression" dxfId="667" priority="1568">
      <formula>IF($B37="Quoting",TRUE,FALSE)</formula>
    </cfRule>
    <cfRule type="expression" dxfId="666" priority="1569">
      <formula>IF($B37="Quoting",TRUE,FALSE)</formula>
    </cfRule>
    <cfRule type="expression" dxfId="665" priority="1570">
      <formula>IF($B37="Quoting",TRUE,FALSE)</formula>
    </cfRule>
    <cfRule type="expression" dxfId="664" priority="1571">
      <formula>IF($B37="Quoting",TRUE,FALSE)</formula>
    </cfRule>
    <cfRule type="expression" dxfId="663" priority="1572">
      <formula>IF($B37="Quoting",TRUE,FALSE)</formula>
    </cfRule>
    <cfRule type="expression" dxfId="662" priority="1573">
      <formula>IF($B37="Quoting",TRUE,FALSE)</formula>
    </cfRule>
    <cfRule type="expression" dxfId="661" priority="1574">
      <formula>IF($B37="Quoting",TRUE,FALSE)</formula>
    </cfRule>
    <cfRule type="expression" dxfId="660" priority="1575">
      <formula>IF($B37="Quoting",TRUE,FALSE)</formula>
    </cfRule>
    <cfRule type="expression" dxfId="659" priority="1576">
      <formula>IF($B37="Quoting",TRUE,FALSE)</formula>
    </cfRule>
    <cfRule type="expression" dxfId="658" priority="1577">
      <formula>IF($B37="Quoting",TRUE,FALSE)</formula>
    </cfRule>
    <cfRule type="expression" dxfId="657" priority="1578">
      <formula>IF($B37="Quoting",TRUE,FALSE)</formula>
    </cfRule>
    <cfRule type="expression" dxfId="656" priority="1579">
      <formula>IF($B37="Quoting",TRUE,FALSE)</formula>
    </cfRule>
    <cfRule type="expression" dxfId="655" priority="1580">
      <formula>IF($B37="Quoting",TRUE,FALSE)</formula>
    </cfRule>
    <cfRule type="expression" dxfId="654" priority="1581">
      <formula>IF($B37="Quoting",TRUE,FALSE)</formula>
    </cfRule>
    <cfRule type="expression" dxfId="653" priority="1582">
      <formula>IF($B37="Quoting",TRUE,FALSE)</formula>
    </cfRule>
    <cfRule type="expression" dxfId="652" priority="1583">
      <formula>IF($B37="Quoting",TRUE,FALSE)</formula>
    </cfRule>
    <cfRule type="expression" dxfId="651" priority="1584">
      <formula>IF($B37="Quoting",TRUE,FALSE)</formula>
    </cfRule>
    <cfRule type="expression" dxfId="650" priority="1585">
      <formula>IF($B37="Quoting",TRUE,FALSE)</formula>
    </cfRule>
    <cfRule type="expression" dxfId="649" priority="1586">
      <formula>IF($B37="Quoting",TRUE,FALSE)</formula>
    </cfRule>
    <cfRule type="expression" dxfId="648" priority="1587">
      <formula>IF($B37="Quoting",TRUE,FALSE)</formula>
    </cfRule>
    <cfRule type="expression" dxfId="647" priority="1588">
      <formula>IF($B37="Quoting",TRUE,FALSE)</formula>
    </cfRule>
    <cfRule type="expression" dxfId="646" priority="1589">
      <formula>IF($B37="Quoting",TRUE,FALSE)</formula>
    </cfRule>
    <cfRule type="expression" dxfId="645" priority="1590">
      <formula>IF($B37="Quoting",TRUE,FALSE)</formula>
    </cfRule>
    <cfRule type="expression" dxfId="644" priority="1591">
      <formula>IF($B37="Quoting",TRUE,FALSE)</formula>
    </cfRule>
    <cfRule type="expression" dxfId="643" priority="1592">
      <formula>IF($B37="Quoting",TRUE,FALSE)</formula>
    </cfRule>
    <cfRule type="expression" dxfId="642" priority="1593">
      <formula>IF($B37="Quoting",TRUE,FALSE)</formula>
    </cfRule>
    <cfRule type="expression" dxfId="641" priority="1594">
      <formula>IF($B37="Quoting",TRUE,FALSE)</formula>
    </cfRule>
    <cfRule type="expression" dxfId="640" priority="1595">
      <formula>IF($B37="Quoting",TRUE,FALSE)</formula>
    </cfRule>
    <cfRule type="expression" dxfId="639" priority="1596">
      <formula>IF($B37="Quoting",TRUE,FALSE)</formula>
    </cfRule>
    <cfRule type="expression" dxfId="638" priority="1597">
      <formula>IF($B37="Quoting",TRUE,FALSE)</formula>
    </cfRule>
    <cfRule type="expression" dxfId="637" priority="1598">
      <formula>IF($B37="Quoting",TRUE,FALSE)</formula>
    </cfRule>
    <cfRule type="expression" dxfId="636" priority="1599">
      <formula>IF($B37="Quoting",TRUE,FALSE)</formula>
    </cfRule>
    <cfRule type="expression" dxfId="635" priority="1600">
      <formula>IF($B37="Quoting",TRUE,FALSE)</formula>
    </cfRule>
    <cfRule type="expression" dxfId="634" priority="1601">
      <formula>IF($B37="Quoting",TRUE,FALSE)</formula>
    </cfRule>
    <cfRule type="expression" dxfId="633" priority="1602">
      <formula>IF($B37="Quoting",TRUE,FALSE)</formula>
    </cfRule>
    <cfRule type="expression" dxfId="632" priority="1603">
      <formula>IF($B37="Quoting",TRUE,FALSE)</formula>
    </cfRule>
    <cfRule type="expression" dxfId="631" priority="1604">
      <formula>IF($B37="Quoting",TRUE,FALSE)</formula>
    </cfRule>
    <cfRule type="expression" dxfId="630" priority="1605">
      <formula>IF($B37="Quoting",TRUE,FALSE)</formula>
    </cfRule>
    <cfRule type="expression" dxfId="629" priority="1606">
      <formula>IF($B37="Quoting",TRUE,FALSE)</formula>
    </cfRule>
    <cfRule type="expression" dxfId="628" priority="1607">
      <formula>IF($B37="Quoting",TRUE,FALSE)</formula>
    </cfRule>
    <cfRule type="expression" dxfId="627" priority="1608">
      <formula>IF($B37="Quoting",TRUE,FALSE)</formula>
    </cfRule>
    <cfRule type="expression" dxfId="626" priority="1609">
      <formula>IF($B37="Quoting",TRUE,FALSE)</formula>
    </cfRule>
    <cfRule type="expression" dxfId="625" priority="1610">
      <formula>IF($B37="Quoting",TRUE,FALSE)</formula>
    </cfRule>
    <cfRule type="expression" dxfId="624" priority="1611">
      <formula>IF($B37="Quoting",TRUE,FALSE)</formula>
    </cfRule>
    <cfRule type="expression" dxfId="623" priority="1612">
      <formula>IF($B37="Quoting",TRUE,FALSE)</formula>
    </cfRule>
    <cfRule type="expression" dxfId="622" priority="1613">
      <formula>IF($B37="Quoting",TRUE,FALSE)</formula>
    </cfRule>
    <cfRule type="expression" dxfId="621" priority="1614">
      <formula>IF($B37="Quoting",TRUE,FALSE)</formula>
    </cfRule>
    <cfRule type="expression" dxfId="620" priority="1615">
      <formula>IF($B37="Quoting",TRUE,FALSE)</formula>
    </cfRule>
    <cfRule type="expression" dxfId="619" priority="1616">
      <formula>IF($B37="Quoting",TRUE,FALSE)</formula>
    </cfRule>
    <cfRule type="expression" dxfId="618" priority="1617">
      <formula>IF($B37="Quoting",TRUE,FALSE)</formula>
    </cfRule>
    <cfRule type="expression" dxfId="617" priority="1618">
      <formula>IF($B37="Quoting",TRUE,FALSE)</formula>
    </cfRule>
    <cfRule type="expression" dxfId="616" priority="1619">
      <formula>IF($B37="Quoting",TRUE,FALSE)</formula>
    </cfRule>
    <cfRule type="expression" dxfId="615" priority="1620">
      <formula>IF($B37="Quoting",TRUE,FALSE)</formula>
    </cfRule>
    <cfRule type="expression" dxfId="614" priority="1621">
      <formula>IF($B37="Quoting",TRUE,FALSE)</formula>
    </cfRule>
    <cfRule type="expression" dxfId="613" priority="1622">
      <formula>IF($B37="Quoting",TRUE,FALSE)</formula>
    </cfRule>
    <cfRule type="expression" dxfId="612" priority="1623">
      <formula>IF($B37="Quoting",TRUE,FALSE)</formula>
    </cfRule>
    <cfRule type="expression" dxfId="611" priority="1624">
      <formula>IF($B37="Quoting",TRUE,FALSE)</formula>
    </cfRule>
    <cfRule type="expression" dxfId="610" priority="1625">
      <formula>IF($B37="Quoting",TRUE,FALSE)</formula>
    </cfRule>
    <cfRule type="expression" dxfId="609" priority="1626">
      <formula>IF($B37="Quoting",TRUE,FALSE)</formula>
    </cfRule>
    <cfRule type="expression" dxfId="608" priority="1627">
      <formula>IF($B37="Quoting",TRUE,FALSE)</formula>
    </cfRule>
    <cfRule type="expression" dxfId="607" priority="1628">
      <formula>IF($B37="Quoting",TRUE,FALSE)</formula>
    </cfRule>
    <cfRule type="expression" dxfId="606" priority="1629">
      <formula>IF($B37="Quoting",TRUE,FALSE)</formula>
    </cfRule>
    <cfRule type="expression" dxfId="605" priority="1630">
      <formula>IF($B37="Quoting",TRUE,FALSE)</formula>
    </cfRule>
    <cfRule type="expression" dxfId="604" priority="1631">
      <formula>IF($B37="Quoting",TRUE,FALSE)</formula>
    </cfRule>
    <cfRule type="expression" dxfId="603" priority="1632">
      <formula>IF($B37="Quoting",TRUE,FALSE)</formula>
    </cfRule>
    <cfRule type="expression" dxfId="602" priority="1633">
      <formula>IF($B37="Quoting",TRUE,FALSE)</formula>
    </cfRule>
    <cfRule type="expression" dxfId="601" priority="1634">
      <formula>IF($B37="Quoting",TRUE,FALSE)</formula>
    </cfRule>
    <cfRule type="expression" dxfId="600" priority="1635">
      <formula>IF($B37="Quoting",TRUE,FALSE)</formula>
    </cfRule>
    <cfRule type="expression" dxfId="599" priority="1636">
      <formula>IF($B37="Quoting",TRUE,FALSE)</formula>
    </cfRule>
    <cfRule type="expression" dxfId="598" priority="1637">
      <formula>IF($B37="Quoting",TRUE,FALSE)</formula>
    </cfRule>
    <cfRule type="expression" dxfId="597" priority="1638">
      <formula>IF($B37="Quoting",TRUE,FALSE)</formula>
    </cfRule>
    <cfRule type="expression" dxfId="596" priority="1639">
      <formula>IF($B37="Quoting",TRUE,FALSE)</formula>
    </cfRule>
    <cfRule type="expression" dxfId="595" priority="1640">
      <formula>IF($B37="Quoting",TRUE,FALSE)</formula>
    </cfRule>
    <cfRule type="expression" dxfId="594" priority="1641">
      <formula>IF($B37="Quoting",TRUE,FALSE)</formula>
    </cfRule>
    <cfRule type="expression" dxfId="593" priority="1642">
      <formula>IF($B37="Quoting",TRUE,FALSE)</formula>
    </cfRule>
    <cfRule type="expression" dxfId="592" priority="1643">
      <formula>IF($B37="Quoting",TRUE,FALSE)</formula>
    </cfRule>
    <cfRule type="expression" dxfId="591" priority="1644">
      <formula>IF($B37="Quoting",TRUE,FALSE)</formula>
    </cfRule>
    <cfRule type="expression" dxfId="590" priority="1645">
      <formula>IF($B37="Quoting",TRUE,FALSE)</formula>
    </cfRule>
    <cfRule type="expression" dxfId="589" priority="1646">
      <formula>IF($B37="Quoting",TRUE,FALSE)</formula>
    </cfRule>
    <cfRule type="expression" dxfId="588" priority="1647">
      <formula>IF($B37="Quoting",TRUE,FALSE)</formula>
    </cfRule>
    <cfRule type="expression" dxfId="587" priority="1648">
      <formula>IF($B37="Quoting",TRUE,FALSE)</formula>
    </cfRule>
    <cfRule type="expression" dxfId="586" priority="1649">
      <formula>IF($B37="Quoting",TRUE,FALSE)</formula>
    </cfRule>
    <cfRule type="expression" dxfId="585" priority="1650">
      <formula>IF($B37="Quoting",TRUE,FALSE)</formula>
    </cfRule>
    <cfRule type="expression" dxfId="584" priority="1651">
      <formula>IF($B37="Quoting",TRUE,FALSE)</formula>
    </cfRule>
    <cfRule type="expression" dxfId="583" priority="1652">
      <formula>IF($B37="Quoting",TRUE,FALSE)</formula>
    </cfRule>
    <cfRule type="expression" dxfId="582" priority="1653">
      <formula>IF($B37="Quoting",TRUE,FALSE)</formula>
    </cfRule>
    <cfRule type="expression" dxfId="581" priority="1654">
      <formula>IF($B37="Quoting",TRUE,FALSE)</formula>
    </cfRule>
    <cfRule type="expression" dxfId="580" priority="1655">
      <formula>IF($B37="Quoting",TRUE,FALSE)</formula>
    </cfRule>
    <cfRule type="expression" dxfId="579" priority="1656">
      <formula>IF($B37="Quoting",TRUE,FALSE)</formula>
    </cfRule>
    <cfRule type="expression" dxfId="578" priority="1657">
      <formula>IF($B37="Quoting",TRUE,FALSE)</formula>
    </cfRule>
    <cfRule type="expression" dxfId="577" priority="1658">
      <formula>IF($B37="Quoting",TRUE,FALSE)</formula>
    </cfRule>
    <cfRule type="expression" dxfId="576" priority="1659">
      <formula>IF($B37="Quoting",TRUE,FALSE)</formula>
    </cfRule>
    <cfRule type="expression" dxfId="575" priority="1660">
      <formula>IF($B37="Quoting",TRUE,FALSE)</formula>
    </cfRule>
    <cfRule type="expression" dxfId="574" priority="1661">
      <formula>IF($B37="Quoting",TRUE,FALSE)</formula>
    </cfRule>
    <cfRule type="expression" dxfId="573" priority="1662">
      <formula>IF($B37="Quoting",TRUE,FALSE)</formula>
    </cfRule>
    <cfRule type="expression" dxfId="572" priority="1663">
      <formula>IF($B37="Quoting",TRUE,FALSE)</formula>
    </cfRule>
    <cfRule type="expression" dxfId="571" priority="1664">
      <formula>IF($B37="Quoting",TRUE,FALSE)</formula>
    </cfRule>
    <cfRule type="expression" dxfId="570" priority="1665">
      <formula>IF($B37="Quoting",TRUE,FALSE)</formula>
    </cfRule>
    <cfRule type="expression" dxfId="569" priority="1666">
      <formula>IF($B37="Quoting",TRUE,FALSE)</formula>
    </cfRule>
    <cfRule type="expression" dxfId="568" priority="1667">
      <formula>IF($B37="Quoting",TRUE,FALSE)</formula>
    </cfRule>
    <cfRule type="expression" dxfId="567" priority="1668">
      <formula>IF($B37="Quoting",TRUE,FALSE)</formula>
    </cfRule>
    <cfRule type="expression" dxfId="566" priority="1669">
      <formula>IF($B37="Quoting",TRUE,FALSE)</formula>
    </cfRule>
    <cfRule type="expression" dxfId="565" priority="1670">
      <formula>IF($B37="Quoting",TRUE,FALSE)</formula>
    </cfRule>
    <cfRule type="expression" dxfId="564" priority="1671">
      <formula>IF($B37="Quoting",TRUE,FALSE)</formula>
    </cfRule>
    <cfRule type="expression" dxfId="563" priority="1672">
      <formula>IF($B37="Quoting",TRUE,FALSE)</formula>
    </cfRule>
    <cfRule type="expression" dxfId="562" priority="1673">
      <formula>IF($B37="Quoting",TRUE,FALSE)</formula>
    </cfRule>
    <cfRule type="expression" dxfId="561" priority="1674">
      <formula>IF($B37="Quoting",TRUE,FALSE)</formula>
    </cfRule>
    <cfRule type="expression" dxfId="560" priority="1675">
      <formula>IF($B37="Quoting",TRUE,FALSE)</formula>
    </cfRule>
    <cfRule type="expression" dxfId="559" priority="1676">
      <formula>IF($B37="Quoting",TRUE,FALSE)</formula>
    </cfRule>
    <cfRule type="expression" dxfId="558" priority="1677">
      <formula>IF($B37="Quoting",TRUE,FALSE)</formula>
    </cfRule>
    <cfRule type="expression" dxfId="557" priority="1678">
      <formula>IF($B37="Quoting",TRUE,FALSE)</formula>
    </cfRule>
    <cfRule type="expression" dxfId="556" priority="1679">
      <formula>IF($B37="Quoting",TRUE,FALSE)</formula>
    </cfRule>
    <cfRule type="expression" dxfId="555" priority="1680">
      <formula>IF($B37="Quoting",TRUE,FALSE)</formula>
    </cfRule>
    <cfRule type="expression" dxfId="554" priority="1681">
      <formula>IF($B37="Quoting",TRUE,FALSE)</formula>
    </cfRule>
    <cfRule type="expression" dxfId="553" priority="1682">
      <formula>IF($B37="Quoting",TRUE,FALSE)</formula>
    </cfRule>
    <cfRule type="expression" dxfId="552" priority="1683">
      <formula>IF($B37="Quoting",TRUE,FALSE)</formula>
    </cfRule>
    <cfRule type="expression" dxfId="551" priority="1684">
      <formula>IF($B37="Quoting",TRUE,FALSE)</formula>
    </cfRule>
    <cfRule type="expression" dxfId="550" priority="1685">
      <formula>IF($B37="Quoting",TRUE,FALSE)</formula>
    </cfRule>
    <cfRule type="expression" dxfId="549" priority="1686">
      <formula>IF($B37="Quoting",TRUE,FALSE)</formula>
    </cfRule>
    <cfRule type="expression" dxfId="548" priority="1687">
      <formula>IF($B37="Quoting",TRUE,FALSE)</formula>
    </cfRule>
    <cfRule type="expression" dxfId="547" priority="1688">
      <formula>IF($B37="Quoting",TRUE,FALSE)</formula>
    </cfRule>
    <cfRule type="expression" dxfId="546" priority="1689">
      <formula>IF($B37="Quoting",TRUE,FALSE)</formula>
    </cfRule>
    <cfRule type="expression" dxfId="545" priority="1690">
      <formula>IF($B37="Quoting",TRUE,FALSE)</formula>
    </cfRule>
    <cfRule type="expression" dxfId="544" priority="1691">
      <formula>IF($B37="Quoting",TRUE,FALSE)</formula>
    </cfRule>
    <cfRule type="expression" dxfId="543" priority="1692">
      <formula>IF($B37="Quoting",TRUE,FALSE)</formula>
    </cfRule>
    <cfRule type="expression" dxfId="542" priority="1693">
      <formula>IF($B37="Quoting",TRUE,FALSE)</formula>
    </cfRule>
    <cfRule type="expression" dxfId="541" priority="1694">
      <formula>IF($B37="Quoting",TRUE,FALSE)</formula>
    </cfRule>
    <cfRule type="expression" dxfId="540" priority="1695">
      <formula>IF($B37="Quoting",TRUE,FALSE)</formula>
    </cfRule>
    <cfRule type="expression" dxfId="539" priority="1696">
      <formula>IF($B37="Quoting",TRUE,FALSE)</formula>
    </cfRule>
    <cfRule type="expression" dxfId="538" priority="1697">
      <formula>IF($B37="Quoting",TRUE,FALSE)</formula>
    </cfRule>
    <cfRule type="expression" dxfId="537" priority="1698">
      <formula>IF($B37="Quoting",TRUE,FALSE)</formula>
    </cfRule>
    <cfRule type="expression" dxfId="536" priority="1699">
      <formula>IF($B37="Quoting",TRUE,FALSE)</formula>
    </cfRule>
    <cfRule type="expression" dxfId="535" priority="1700">
      <formula>IF($B37="Quoting",TRUE,FALSE)</formula>
    </cfRule>
    <cfRule type="expression" dxfId="534" priority="1701">
      <formula>IF($B37="Quoting",TRUE,FALSE)</formula>
    </cfRule>
    <cfRule type="expression" dxfId="533" priority="1702">
      <formula>IF($B37="Quoting",TRUE,FALSE)</formula>
    </cfRule>
    <cfRule type="expression" dxfId="532" priority="1703">
      <formula>IF($B37="Quoting",TRUE,FALSE)</formula>
    </cfRule>
    <cfRule type="expression" dxfId="531" priority="1704">
      <formula>IF($B37="Quoting",TRUE,FALSE)</formula>
    </cfRule>
    <cfRule type="expression" dxfId="530" priority="1705">
      <formula>IF($B37="Quoting",TRUE,FALSE)</formula>
    </cfRule>
    <cfRule type="expression" dxfId="529" priority="1706">
      <formula>IF($B37="Quoting",TRUE,FALSE)</formula>
    </cfRule>
    <cfRule type="expression" dxfId="528" priority="1707">
      <formula>IF($B37="Quoting",TRUE,FALSE)</formula>
    </cfRule>
    <cfRule type="expression" dxfId="527" priority="1708">
      <formula>IF($B37="Quoting",TRUE,FALSE)</formula>
    </cfRule>
    <cfRule type="expression" dxfId="526" priority="1709">
      <formula>IF($B37="Quoting",TRUE,FALSE)</formula>
    </cfRule>
    <cfRule type="expression" dxfId="525" priority="1710">
      <formula>IF($B37="Quoting",TRUE,FALSE)</formula>
    </cfRule>
    <cfRule type="expression" dxfId="524" priority="1711">
      <formula>IF($B37="Quoting",TRUE,FALSE)</formula>
    </cfRule>
    <cfRule type="expression" dxfId="523" priority="1712">
      <formula>IF($B37="Quoting",TRUE,FALSE)</formula>
    </cfRule>
    <cfRule type="expression" dxfId="522" priority="1713">
      <formula>IF($B37="Quoting",TRUE,FALSE)</formula>
    </cfRule>
    <cfRule type="expression" dxfId="521" priority="1714">
      <formula>IF($B37="Quoting",TRUE,FALSE)</formula>
    </cfRule>
    <cfRule type="expression" dxfId="520" priority="1715">
      <formula>IF($B37="Quoting",TRUE,FALSE)</formula>
    </cfRule>
    <cfRule type="expression" dxfId="519" priority="1716">
      <formula>IF($B37="Quoting",TRUE,FALSE)</formula>
    </cfRule>
    <cfRule type="expression" dxfId="518" priority="1717">
      <formula>IF($B37="Quoting",TRUE,FALSE)</formula>
    </cfRule>
    <cfRule type="expression" dxfId="517" priority="1718">
      <formula>IF($B37="Quoting",TRUE,FALSE)</formula>
    </cfRule>
    <cfRule type="expression" dxfId="516" priority="1719">
      <formula>IF($B37="Quoting",TRUE,FALSE)</formula>
    </cfRule>
    <cfRule type="expression" dxfId="515" priority="1720">
      <formula>IF($B37="Quoting",TRUE,FALSE)</formula>
    </cfRule>
    <cfRule type="expression" dxfId="514" priority="1721">
      <formula>IF($B37="Quoting",TRUE,FALSE)</formula>
    </cfRule>
    <cfRule type="expression" dxfId="513" priority="1722">
      <formula>IF($B37="Quoting",TRUE,FALSE)</formula>
    </cfRule>
    <cfRule type="expression" dxfId="512" priority="1723">
      <formula>IF($B37="Quoting",TRUE,FALSE)</formula>
    </cfRule>
    <cfRule type="expression" dxfId="511" priority="1724">
      <formula>IF($B37="Quoting",TRUE,FALSE)</formula>
    </cfRule>
    <cfRule type="expression" dxfId="510" priority="1725">
      <formula>IF($B37="Quoting",TRUE,FALSE)</formula>
    </cfRule>
    <cfRule type="expression" dxfId="509" priority="1726">
      <formula>IF($B37="Quoting",TRUE,FALSE)</formula>
    </cfRule>
    <cfRule type="expression" dxfId="508" priority="1727">
      <formula>IF($B37="Quoting",TRUE,FALSE)</formula>
    </cfRule>
    <cfRule type="expression" dxfId="507" priority="1728">
      <formula>IF($B37="Quoting",TRUE,FALSE)</formula>
    </cfRule>
    <cfRule type="expression" dxfId="506" priority="1729">
      <formula>IF($B37="Quoting",TRUE,FALSE)</formula>
    </cfRule>
    <cfRule type="expression" dxfId="505" priority="1730">
      <formula>IF($B37="Quoting",TRUE,FALSE)</formula>
    </cfRule>
    <cfRule type="expression" dxfId="504" priority="1731">
      <formula>IF($B37="Quoting",TRUE,FALSE)</formula>
    </cfRule>
    <cfRule type="expression" dxfId="503" priority="1732">
      <formula>IF($B37="Quoting",TRUE,FALSE)</formula>
    </cfRule>
    <cfRule type="expression" dxfId="502" priority="1733">
      <formula>IF($B37="Quoting",TRUE,FALSE)</formula>
    </cfRule>
    <cfRule type="expression" dxfId="501" priority="1734">
      <formula>IF($B37="Quoting",TRUE,FALSE)</formula>
    </cfRule>
    <cfRule type="expression" dxfId="500" priority="1735">
      <formula>IF($B37="Quoting",TRUE,FALSE)</formula>
    </cfRule>
    <cfRule type="expression" dxfId="499" priority="1736">
      <formula>IF($B37="Quoting",TRUE,FALSE)</formula>
    </cfRule>
    <cfRule type="expression" dxfId="498" priority="1737">
      <formula>IF($B37="Quoting",TRUE,FALSE)</formula>
    </cfRule>
    <cfRule type="expression" dxfId="497" priority="1738">
      <formula>IF($B37="Quoting",TRUE,FALSE)</formula>
    </cfRule>
    <cfRule type="expression" dxfId="496" priority="1739">
      <formula>IF($B37="Quoting",TRUE,FALSE)</formula>
    </cfRule>
    <cfRule type="expression" dxfId="495" priority="1740">
      <formula>IF($B37="Quoting",TRUE,FALSE)</formula>
    </cfRule>
    <cfRule type="expression" dxfId="494" priority="1741">
      <formula>IF($B37="Quoting",TRUE,FALSE)</formula>
    </cfRule>
    <cfRule type="expression" dxfId="493" priority="1742">
      <formula>IF($B37="Quoting",TRUE,FALSE)</formula>
    </cfRule>
    <cfRule type="expression" dxfId="492" priority="1743">
      <formula>IF($B37="Quoting",TRUE,FALSE)</formula>
    </cfRule>
    <cfRule type="expression" dxfId="491" priority="1744">
      <formula>IF($B37="Quoting",TRUE,FALSE)</formula>
    </cfRule>
    <cfRule type="expression" dxfId="490" priority="1745">
      <formula>IF($B37="Quoting",TRUE,FALSE)</formula>
    </cfRule>
    <cfRule type="expression" dxfId="489" priority="1746">
      <formula>IF($B37="Quoting",TRUE,FALSE)</formula>
    </cfRule>
    <cfRule type="expression" dxfId="488" priority="1747">
      <formula>IF($B37="Quoting",TRUE,FALSE)</formula>
    </cfRule>
    <cfRule type="expression" dxfId="487" priority="1748">
      <formula>IF($B37="Quoting",TRUE,FALSE)</formula>
    </cfRule>
    <cfRule type="expression" dxfId="486" priority="1749">
      <formula>IF($B37="Quoting",TRUE,FALSE)</formula>
    </cfRule>
    <cfRule type="expression" dxfId="485" priority="1750">
      <formula>IF($B37="Quoting",TRUE,FALSE)</formula>
    </cfRule>
    <cfRule type="expression" dxfId="484" priority="1751">
      <formula>IF($B37="Quoting",TRUE,FALSE)</formula>
    </cfRule>
    <cfRule type="expression" dxfId="483" priority="1752">
      <formula>IF($B37="Quoting",TRUE,FALSE)</formula>
    </cfRule>
    <cfRule type="expression" dxfId="482" priority="1753">
      <formula>IF($B37="Quoting",TRUE,FALSE)</formula>
    </cfRule>
    <cfRule type="expression" dxfId="481" priority="1754">
      <formula>IF($B37="Quoting",TRUE,FALSE)</formula>
    </cfRule>
    <cfRule type="expression" dxfId="480" priority="1755">
      <formula>IF($B37="Quoting",TRUE,FALSE)</formula>
    </cfRule>
    <cfRule type="expression" dxfId="479" priority="1756">
      <formula>IF($B37="Quoting",TRUE,FALSE)</formula>
    </cfRule>
    <cfRule type="expression" dxfId="478" priority="1757">
      <formula>IF($B37="Quoting",TRUE,FALSE)</formula>
    </cfRule>
    <cfRule type="expression" dxfId="477" priority="1758">
      <formula>IF($B37="Quoting",TRUE,FALSE)</formula>
    </cfRule>
    <cfRule type="expression" dxfId="476" priority="1759">
      <formula>IF($B37="Quoting",TRUE,FALSE)</formula>
    </cfRule>
    <cfRule type="expression" dxfId="475" priority="1760">
      <formula>IF($B37="Quoting",TRUE,FALSE)</formula>
    </cfRule>
    <cfRule type="expression" dxfId="474" priority="1761">
      <formula>IF($B37="Quoting",TRUE,FALSE)</formula>
    </cfRule>
    <cfRule type="expression" dxfId="473" priority="1762">
      <formula>IF($B37="Quoting",TRUE,FALSE)</formula>
    </cfRule>
    <cfRule type="expression" dxfId="472" priority="1763">
      <formula>IF($B37="Quoting",TRUE,FALSE)</formula>
    </cfRule>
    <cfRule type="expression" dxfId="471" priority="1764">
      <formula>IF($B37="Quoting",TRUE,FALSE)</formula>
    </cfRule>
    <cfRule type="expression" dxfId="470" priority="1765">
      <formula>IF($B37="Quoting",TRUE,FALSE)</formula>
    </cfRule>
    <cfRule type="expression" dxfId="469" priority="1766">
      <formula>IF($B37="Quoting",TRUE,FALSE)</formula>
    </cfRule>
    <cfRule type="expression" dxfId="468" priority="1767">
      <formula>IF($B37="Quoting",TRUE,FALSE)</formula>
    </cfRule>
    <cfRule type="expression" dxfId="467" priority="1768">
      <formula>IF($B37="Quoting",TRUE,FALSE)</formula>
    </cfRule>
    <cfRule type="expression" dxfId="466" priority="1769">
      <formula>IF($B37="Quoting",TRUE,FALSE)</formula>
    </cfRule>
    <cfRule type="expression" dxfId="465" priority="1770">
      <formula>IF($B37="Quoting",TRUE,FALSE)</formula>
    </cfRule>
    <cfRule type="expression" dxfId="464" priority="1771">
      <formula>IF($B37="Quoting",TRUE,FALSE)</formula>
    </cfRule>
    <cfRule type="expression" dxfId="463" priority="1772">
      <formula>IF($B37="Quoting",TRUE,FALSE)</formula>
    </cfRule>
    <cfRule type="expression" dxfId="462" priority="1773">
      <formula>IF($B37="Quoting",TRUE,FALSE)</formula>
    </cfRule>
    <cfRule type="expression" dxfId="461" priority="1774">
      <formula>IF($B37="Quoting",TRUE,FALSE)</formula>
    </cfRule>
    <cfRule type="expression" dxfId="460" priority="1775">
      <formula>IF($B37="Quoting",TRUE,FALSE)</formula>
    </cfRule>
    <cfRule type="expression" dxfId="459" priority="1776">
      <formula>IF($B37="Quoting",TRUE,FALSE)</formula>
    </cfRule>
    <cfRule type="expression" dxfId="458" priority="1777">
      <formula>IF($B37="Quoting",TRUE,FALSE)</formula>
    </cfRule>
    <cfRule type="expression" dxfId="457" priority="1778">
      <formula>IF($B37="Quoting",TRUE,FALSE)</formula>
    </cfRule>
    <cfRule type="expression" dxfId="456" priority="1779">
      <formula>IF($B37="Quoting",TRUE,FALSE)</formula>
    </cfRule>
    <cfRule type="expression" dxfId="455" priority="1780">
      <formula>IF($B37="Quoting",TRUE,FALSE)</formula>
    </cfRule>
    <cfRule type="expression" dxfId="454" priority="1781">
      <formula>IF($B37="Quoting",TRUE,FALSE)</formula>
    </cfRule>
    <cfRule type="expression" dxfId="453" priority="1782">
      <formula>IF($B37="Quoting",TRUE,FALSE)</formula>
    </cfRule>
    <cfRule type="expression" dxfId="452" priority="1783">
      <formula>IF($B37="Quoting",TRUE,FALSE)</formula>
    </cfRule>
    <cfRule type="expression" dxfId="451" priority="1784">
      <formula>IF($B37="Quoting",TRUE,FALSE)</formula>
    </cfRule>
    <cfRule type="expression" dxfId="450" priority="1785">
      <formula>IF($B37="Quoting",TRUE,FALSE)</formula>
    </cfRule>
    <cfRule type="expression" dxfId="449" priority="1786">
      <formula>IF($B37="Quoting",TRUE,FALSE)</formula>
    </cfRule>
    <cfRule type="expression" dxfId="448" priority="1787">
      <formula>IF($B37="Quoting",TRUE,FALSE)</formula>
    </cfRule>
    <cfRule type="expression" dxfId="447" priority="1788">
      <formula>IF($B37="Quoting",TRUE,FALSE)</formula>
    </cfRule>
    <cfRule type="expression" dxfId="446" priority="1789">
      <formula>IF($B37="Quoting",TRUE,FALSE)</formula>
    </cfRule>
    <cfRule type="expression" dxfId="445" priority="1790">
      <formula>IF($B37="Quoting",TRUE,FALSE)</formula>
    </cfRule>
    <cfRule type="expression" dxfId="444" priority="1791">
      <formula>IF($B37="Quoting",TRUE,FALSE)</formula>
    </cfRule>
    <cfRule type="expression" dxfId="443" priority="1792">
      <formula>IF($B37="Quoting",TRUE,FALSE)</formula>
    </cfRule>
    <cfRule type="expression" dxfId="442" priority="1793">
      <formula>IF($B37="Quoting",TRUE,FALSE)</formula>
    </cfRule>
    <cfRule type="expression" dxfId="441" priority="1794">
      <formula>IF($B37="Quoting",TRUE,FALSE)</formula>
    </cfRule>
    <cfRule type="expression" dxfId="440" priority="1795">
      <formula>IF($B37="Quoting",TRUE,FALSE)</formula>
    </cfRule>
    <cfRule type="expression" dxfId="439" priority="1796">
      <formula>IF($B37="Quoting",TRUE,FALSE)</formula>
    </cfRule>
    <cfRule type="expression" dxfId="438" priority="1797">
      <formula>IF($B37="Quoting",TRUE,FALSE)</formula>
    </cfRule>
    <cfRule type="expression" dxfId="437" priority="1798">
      <formula>IF($B37="Quoting",TRUE,FALSE)</formula>
    </cfRule>
    <cfRule type="expression" dxfId="436" priority="1799">
      <formula>IF($B37="Quoting",TRUE,FALSE)</formula>
    </cfRule>
    <cfRule type="expression" dxfId="435" priority="1800">
      <formula>IF($B37="Quoting",TRUE,FALSE)</formula>
    </cfRule>
    <cfRule type="expression" dxfId="434" priority="1801">
      <formula>IF($B37="Quoting",TRUE,FALSE)</formula>
    </cfRule>
    <cfRule type="expression" dxfId="433" priority="1802">
      <formula>IF($B37="Quoting",TRUE,FALSE)</formula>
    </cfRule>
    <cfRule type="expression" dxfId="432" priority="1803">
      <formula>IF($B37="Quoting",TRUE,FALSE)</formula>
    </cfRule>
    <cfRule type="expression" dxfId="431" priority="1804">
      <formula>IF($B37="Quoting",TRUE,FALSE)</formula>
    </cfRule>
    <cfRule type="expression" dxfId="430" priority="1805">
      <formula>IF($B37="Quoting",TRUE,FALSE)</formula>
    </cfRule>
    <cfRule type="expression" dxfId="429" priority="1806">
      <formula>IF($B37="Quoting",TRUE,FALSE)</formula>
    </cfRule>
    <cfRule type="expression" dxfId="428" priority="1807">
      <formula>IF($B37="Quoting",TRUE,FALSE)</formula>
    </cfRule>
    <cfRule type="expression" dxfId="427" priority="1808">
      <formula>IF($B37="Quoting",TRUE,FALSE)</formula>
    </cfRule>
    <cfRule type="expression" dxfId="426" priority="1809">
      <formula>IF($B37="Quoting",TRUE,FALSE)</formula>
    </cfRule>
    <cfRule type="expression" dxfId="425" priority="1810">
      <formula>IF($B37="Quoting",TRUE,FALSE)</formula>
    </cfRule>
    <cfRule type="expression" dxfId="424" priority="1811">
      <formula>IF($B37="Quoting",TRUE,FALSE)</formula>
    </cfRule>
    <cfRule type="expression" dxfId="423" priority="1812">
      <formula>IF($B37="Quoting",TRUE,FALSE)</formula>
    </cfRule>
    <cfRule type="expression" dxfId="422" priority="1813">
      <formula>IF($B37="Quoting",TRUE,FALSE)</formula>
    </cfRule>
    <cfRule type="expression" dxfId="421" priority="1814">
      <formula>IF($B37="Quoting",TRUE,FALSE)</formula>
    </cfRule>
    <cfRule type="expression" dxfId="420" priority="1815">
      <formula>IF($B37="Quoting",TRUE,FALSE)</formula>
    </cfRule>
    <cfRule type="expression" dxfId="419" priority="1816">
      <formula>IF($B37="Quoting",TRUE,FALSE)</formula>
    </cfRule>
    <cfRule type="expression" dxfId="418" priority="1817">
      <formula>IF($B37="Quoting",TRUE,FALSE)</formula>
    </cfRule>
    <cfRule type="expression" dxfId="417" priority="1818">
      <formula>IF($B37="Quoting",TRUE,FALSE)</formula>
    </cfRule>
    <cfRule type="expression" dxfId="416" priority="1819">
      <formula>IF($B37="Quoting",TRUE,FALSE)</formula>
    </cfRule>
    <cfRule type="expression" dxfId="415" priority="1820">
      <formula>IF($B37="Quoting",TRUE,FALSE)</formula>
    </cfRule>
    <cfRule type="expression" dxfId="414" priority="1821">
      <formula>IF($B37="Quoting",TRUE,FALSE)</formula>
    </cfRule>
    <cfRule type="expression" dxfId="413" priority="1822">
      <formula>IF($B37="Quoting",TRUE,FALSE)</formula>
    </cfRule>
    <cfRule type="expression" dxfId="412" priority="1823">
      <formula>IF($B37="Quoting",TRUE,FALSE)</formula>
    </cfRule>
    <cfRule type="expression" dxfId="411" priority="1824">
      <formula>IF($B37="Quoting",TRUE,FALSE)</formula>
    </cfRule>
    <cfRule type="expression" dxfId="410" priority="1825">
      <formula>IF($B37="Quoting",TRUE,FALSE)</formula>
    </cfRule>
    <cfRule type="expression" dxfId="409" priority="1826">
      <formula>IF($B37="Quoting",TRUE,FALSE)</formula>
    </cfRule>
    <cfRule type="expression" dxfId="408" priority="1827">
      <formula>IF($B37="Quoting",TRUE,FALSE)</formula>
    </cfRule>
    <cfRule type="expression" dxfId="407" priority="1828">
      <formula>IF($B37="Quoting",TRUE,FALSE)</formula>
    </cfRule>
    <cfRule type="expression" dxfId="406" priority="1829">
      <formula>IF($B37="Quoting",TRUE,FALSE)</formula>
    </cfRule>
    <cfRule type="expression" dxfId="405" priority="1830">
      <formula>IF($B37="Quoting",TRUE,FALSE)</formula>
    </cfRule>
    <cfRule type="expression" dxfId="404" priority="1831">
      <formula>IF($B37="Quoting",TRUE,FALSE)</formula>
    </cfRule>
    <cfRule type="expression" dxfId="403" priority="1832">
      <formula>IF($B37="Quoting",TRUE,FALSE)</formula>
    </cfRule>
    <cfRule type="expression" dxfId="402" priority="1833">
      <formula>IF($B37="Quoting",TRUE,FALSE)</formula>
    </cfRule>
    <cfRule type="expression" dxfId="401" priority="1834">
      <formula>IF($B37="Quoting",TRUE,FALSE)</formula>
    </cfRule>
    <cfRule type="expression" dxfId="400" priority="1835">
      <formula>IF($B37="Quoting",TRUE,FALSE)</formula>
    </cfRule>
    <cfRule type="expression" dxfId="399" priority="1836">
      <formula>IF($B37="Quoting",TRUE,FALSE)</formula>
    </cfRule>
    <cfRule type="expression" dxfId="398" priority="1837">
      <formula>IF($B37="Quoting",TRUE,FALSE)</formula>
    </cfRule>
    <cfRule type="expression" dxfId="397" priority="1838">
      <formula>IF($B37="Quoting",TRUE,FALSE)</formula>
    </cfRule>
    <cfRule type="expression" dxfId="396" priority="1839">
      <formula>IF($B37="Quoting",TRUE,FALSE)</formula>
    </cfRule>
    <cfRule type="expression" dxfId="395" priority="1840">
      <formula>IF($B37="Quoting",TRUE,FALSE)</formula>
    </cfRule>
    <cfRule type="expression" dxfId="394" priority="1841">
      <formula>IF($B37="Quoting",TRUE,FALSE)</formula>
    </cfRule>
    <cfRule type="expression" dxfId="393" priority="1842">
      <formula>IF($B37="Quoting",TRUE,FALSE)</formula>
    </cfRule>
    <cfRule type="expression" dxfId="392" priority="1843">
      <formula>IF($B37="Quoting",TRUE,FALSE)</formula>
    </cfRule>
    <cfRule type="expression" dxfId="391" priority="1844">
      <formula>IF($B37="Quoting",TRUE,FALSE)</formula>
    </cfRule>
    <cfRule type="expression" dxfId="390" priority="1845">
      <formula>IF($B37="Quoting",TRUE,FALSE)</formula>
    </cfRule>
    <cfRule type="expression" dxfId="389" priority="1846">
      <formula>IF($B37="Quoting",TRUE,FALSE)</formula>
    </cfRule>
    <cfRule type="expression" dxfId="388" priority="1847">
      <formula>IF($B37="Quoting",TRUE,FALSE)</formula>
    </cfRule>
    <cfRule type="expression" dxfId="387" priority="1848">
      <formula>IF($B37="Quoting",TRUE,FALSE)</formula>
    </cfRule>
    <cfRule type="expression" dxfId="386" priority="1849">
      <formula>IF($B37="Quoting",TRUE,FALSE)</formula>
    </cfRule>
    <cfRule type="expression" dxfId="385" priority="1850">
      <formula>IF($B37="Quoting",TRUE,FALSE)</formula>
    </cfRule>
    <cfRule type="expression" dxfId="384" priority="1851">
      <formula>IF($B37="Quoting",TRUE,FALSE)</formula>
    </cfRule>
    <cfRule type="expression" dxfId="383" priority="1852">
      <formula>IF($B37="Quoting",TRUE,FALSE)</formula>
    </cfRule>
    <cfRule type="expression" dxfId="382" priority="1853">
      <formula>IF($B37="Quoting",TRUE,FALSE)</formula>
    </cfRule>
    <cfRule type="expression" dxfId="381" priority="1854">
      <formula>IF($B37="Quoting",TRUE,FALSE)</formula>
    </cfRule>
    <cfRule type="expression" dxfId="380" priority="1855">
      <formula>IF($B37="Quoting",TRUE,FALSE)</formula>
    </cfRule>
    <cfRule type="expression" dxfId="379" priority="1856">
      <formula>IF($B37="Quoting",TRUE,FALSE)</formula>
    </cfRule>
    <cfRule type="expression" dxfId="378" priority="1857">
      <formula>IF($B37="Quoting",TRUE,FALSE)</formula>
    </cfRule>
    <cfRule type="expression" dxfId="377" priority="1858">
      <formula>IF($B37="Quoting",TRUE,FALSE)</formula>
    </cfRule>
    <cfRule type="expression" dxfId="376" priority="1859">
      <formula>IF($B37="Quoting",TRUE,FALSE)</formula>
    </cfRule>
    <cfRule type="expression" dxfId="375" priority="1860">
      <formula>IF($B37="Quoting",TRUE,FALSE)</formula>
    </cfRule>
    <cfRule type="expression" dxfId="374" priority="1861">
      <formula>IF($B37="Quoting",TRUE,FALSE)</formula>
    </cfRule>
    <cfRule type="expression" dxfId="373" priority="1862">
      <formula>IF($B37="Quoting",TRUE,FALSE)</formula>
    </cfRule>
    <cfRule type="expression" dxfId="372" priority="1863">
      <formula>IF($B37="Quoting",TRUE,FALSE)</formula>
    </cfRule>
    <cfRule type="expression" dxfId="371" priority="1864">
      <formula>IF($B37="Quoting",TRUE,FALSE)</formula>
    </cfRule>
    <cfRule type="expression" dxfId="370" priority="1865">
      <formula>IF($B37="Quoting",TRUE,FALSE)</formula>
    </cfRule>
    <cfRule type="expression" dxfId="369" priority="1866">
      <formula>IF($B37="Quoting",TRUE,FALSE)</formula>
    </cfRule>
    <cfRule type="expression" dxfId="368" priority="1867">
      <formula>IF($B37="Quoting",TRUE,FALSE)</formula>
    </cfRule>
    <cfRule type="expression" dxfId="367" priority="1868">
      <formula>IF($B37="Quoting",TRUE,FALSE)</formula>
    </cfRule>
    <cfRule type="expression" dxfId="366" priority="1869">
      <formula>IF($B37="Quoting",TRUE,FALSE)</formula>
    </cfRule>
    <cfRule type="expression" dxfId="365" priority="1870">
      <formula>IF($B37="Quoting",TRUE,FALSE)</formula>
    </cfRule>
    <cfRule type="expression" dxfId="364" priority="1871">
      <formula>IF($B37="Quoting",TRUE,FALSE)</formula>
    </cfRule>
    <cfRule type="expression" dxfId="363" priority="1872">
      <formula>IF($B37="Quoting",TRUE,FALSE)</formula>
    </cfRule>
    <cfRule type="expression" dxfId="362" priority="1873">
      <formula>IF($B37="Quoting",TRUE,FALSE)</formula>
    </cfRule>
    <cfRule type="expression" dxfId="361" priority="1874">
      <formula>IF($B37="Quoting",TRUE,FALSE)</formula>
    </cfRule>
    <cfRule type="expression" dxfId="360" priority="1875">
      <formula>IF($B37="Quoting",TRUE,FALSE)</formula>
    </cfRule>
    <cfRule type="expression" dxfId="359" priority="1876">
      <formula>IF($B37="Quoting",TRUE,FALSE)</formula>
    </cfRule>
    <cfRule type="expression" dxfId="358" priority="1877">
      <formula>IF($B37="Quoting",TRUE,FALSE)</formula>
    </cfRule>
    <cfRule type="expression" dxfId="357" priority="1878">
      <formula>IF($B37="Quoting",TRUE,FALSE)</formula>
    </cfRule>
    <cfRule type="expression" dxfId="356" priority="1879">
      <formula>IF($B37="Quoting",TRUE,FALSE)</formula>
    </cfRule>
    <cfRule type="expression" dxfId="355" priority="1880">
      <formula>IF($B37="Quoting",TRUE,FALSE)</formula>
    </cfRule>
    <cfRule type="expression" dxfId="354" priority="1881">
      <formula>IF($B37="Quoting",TRUE,FALSE)</formula>
    </cfRule>
    <cfRule type="expression" dxfId="353" priority="1882">
      <formula>IF($B37="Quoting",TRUE,FALSE)</formula>
    </cfRule>
    <cfRule type="expression" dxfId="352" priority="1883">
      <formula>IF($B37="Quoting",TRUE,FALSE)</formula>
    </cfRule>
    <cfRule type="expression" dxfId="351" priority="1884">
      <formula>IF($B37="Quoting",TRUE,FALSE)</formula>
    </cfRule>
    <cfRule type="expression" dxfId="350" priority="1885">
      <formula>IF($B37="Quoting",TRUE,FALSE)</formula>
    </cfRule>
    <cfRule type="expression" dxfId="349" priority="1886">
      <formula>IF($B37="Quoting",TRUE,FALSE)</formula>
    </cfRule>
    <cfRule type="expression" dxfId="348" priority="1887">
      <formula>IF($B37="Quoting",TRUE,FALSE)</formula>
    </cfRule>
    <cfRule type="expression" dxfId="347" priority="1888">
      <formula>IF($B37="Quoting",TRUE,FALSE)</formula>
    </cfRule>
    <cfRule type="expression" dxfId="346" priority="1889">
      <formula>IF($B37="Quoting",TRUE,FALSE)</formula>
    </cfRule>
    <cfRule type="expression" dxfId="345" priority="1890">
      <formula>IF($B37="Quoting",TRUE,FALSE)</formula>
    </cfRule>
    <cfRule type="expression" dxfId="344" priority="1891">
      <formula>IF($B37="Quoting",TRUE,FALSE)</formula>
    </cfRule>
    <cfRule type="expression" dxfId="343" priority="1892">
      <formula>IF($B37="Quoting",TRUE,FALSE)</formula>
    </cfRule>
    <cfRule type="expression" dxfId="342" priority="1893">
      <formula>IF($B37="Quoting",TRUE,FALSE)</formula>
    </cfRule>
    <cfRule type="expression" dxfId="341" priority="1894">
      <formula>IF($B37="Quoting",TRUE,FALSE)</formula>
    </cfRule>
    <cfRule type="expression" dxfId="340" priority="1895">
      <formula>IF($B37="Quoting",TRUE,FALSE)</formula>
    </cfRule>
    <cfRule type="expression" dxfId="339" priority="1896">
      <formula>IF($B37="Quoting",TRUE,FALSE)</formula>
    </cfRule>
    <cfRule type="expression" dxfId="338" priority="1897">
      <formula>IF($B37="Quoting",TRUE,FALSE)</formula>
    </cfRule>
    <cfRule type="expression" dxfId="337" priority="1898">
      <formula>IF($B37="Quoting",TRUE,FALSE)</formula>
    </cfRule>
    <cfRule type="expression" dxfId="336" priority="1899">
      <formula>IF($B37="Quoting",TRUE,FALSE)</formula>
    </cfRule>
    <cfRule type="expression" dxfId="335" priority="1900">
      <formula>IF($B37="Quoting",TRUE,FALSE)</formula>
    </cfRule>
    <cfRule type="expression" dxfId="334" priority="1901">
      <formula>IF($B37="Quoting",TRUE,FALSE)</formula>
    </cfRule>
    <cfRule type="expression" dxfId="333" priority="1902">
      <formula>IF($B37="Quoting",TRUE,FALSE)</formula>
    </cfRule>
    <cfRule type="expression" dxfId="332" priority="1903">
      <formula>IF($B37="Quoting",TRUE,FALSE)</formula>
    </cfRule>
    <cfRule type="expression" dxfId="331" priority="1904">
      <formula>IF($B37="Quoting",TRUE,FALSE)</formula>
    </cfRule>
    <cfRule type="expression" dxfId="330" priority="1905">
      <formula>IF($B37="Quoting",TRUE,FALSE)</formula>
    </cfRule>
    <cfRule type="expression" dxfId="329" priority="1906">
      <formula>IF($B37="Quoting",TRUE,FALSE)</formula>
    </cfRule>
    <cfRule type="expression" dxfId="328" priority="1907">
      <formula>IF($B37="Quoting",TRUE,FALSE)</formula>
    </cfRule>
    <cfRule type="expression" dxfId="327" priority="1908">
      <formula>IF($B37="Quoting",TRUE,FALSE)</formula>
    </cfRule>
    <cfRule type="expression" dxfId="326" priority="1909">
      <formula>IF($B37="Quoting",TRUE,FALSE)</formula>
    </cfRule>
    <cfRule type="expression" dxfId="325" priority="1910">
      <formula>IF($B37="Quoting",TRUE,FALSE)</formula>
    </cfRule>
    <cfRule type="expression" dxfId="324" priority="1911">
      <formula>IF($B37="Quoting",TRUE,FALSE)</formula>
    </cfRule>
    <cfRule type="expression" dxfId="323" priority="1912">
      <formula>IF($B37="Quoting",TRUE,FALSE)</formula>
    </cfRule>
    <cfRule type="expression" dxfId="322" priority="1913">
      <formula>IF($B37="Quoting",TRUE,FALSE)</formula>
    </cfRule>
    <cfRule type="expression" dxfId="321" priority="1914">
      <formula>IF($B37="Quoting",TRUE,FALSE)</formula>
    </cfRule>
    <cfRule type="expression" dxfId="320" priority="1915">
      <formula>IF($B37="Quoting",TRUE,FALSE)</formula>
    </cfRule>
    <cfRule type="expression" dxfId="319" priority="1916">
      <formula>IF($B37="Quoting",TRUE,FALSE)</formula>
    </cfRule>
    <cfRule type="expression" dxfId="318" priority="1917">
      <formula>IF($B37="Quoting",TRUE,FALSE)</formula>
    </cfRule>
    <cfRule type="expression" dxfId="317" priority="1918">
      <formula>IF($B37="Quoting",TRUE,FALSE)</formula>
    </cfRule>
    <cfRule type="expression" dxfId="316" priority="1919">
      <formula>IF($B37="Quoting",TRUE,FALSE)</formula>
    </cfRule>
    <cfRule type="expression" dxfId="315" priority="1920">
      <formula>IF($B37="Quoting",TRUE,FALSE)</formula>
    </cfRule>
    <cfRule type="expression" dxfId="314" priority="1921">
      <formula>IF($B37="Quoting",TRUE,FALSE)</formula>
    </cfRule>
    <cfRule type="expression" dxfId="313" priority="1922">
      <formula>IF($B37="Quoting",TRUE,FALSE)</formula>
    </cfRule>
    <cfRule type="expression" dxfId="312" priority="1923">
      <formula>IF($B37="Quoting",TRUE,FALSE)</formula>
    </cfRule>
    <cfRule type="expression" dxfId="311" priority="1924">
      <formula>IF($B37="Quoting",TRUE,FALSE)</formula>
    </cfRule>
    <cfRule type="expression" dxfId="310" priority="1925">
      <formula>IF($B37="Quoting",TRUE,FALSE)</formula>
    </cfRule>
    <cfRule type="expression" dxfId="309" priority="1926">
      <formula>IF($B37="Quoting",TRUE,FALSE)</formula>
    </cfRule>
    <cfRule type="expression" dxfId="308" priority="1927">
      <formula>IF($B37="Quoting",TRUE,FALSE)</formula>
    </cfRule>
    <cfRule type="expression" dxfId="307" priority="1928">
      <formula>IF($B37="Quoting",TRUE,FALSE)</formula>
    </cfRule>
    <cfRule type="expression" dxfId="306" priority="1929">
      <formula>IF($B37="Quoting",TRUE,FALSE)</formula>
    </cfRule>
    <cfRule type="expression" dxfId="305" priority="1930">
      <formula>IF($B37="Quoting",TRUE,FALSE)</formula>
    </cfRule>
    <cfRule type="expression" dxfId="304" priority="1931">
      <formula>IF($B37="Quoting",TRUE,FALSE)</formula>
    </cfRule>
    <cfRule type="expression" dxfId="303" priority="1932">
      <formula>IF($B37="Quoting",TRUE,FALSE)</formula>
    </cfRule>
    <cfRule type="expression" dxfId="302" priority="1933">
      <formula>IF($B37="Quoting",TRUE,FALSE)</formula>
    </cfRule>
    <cfRule type="expression" dxfId="301" priority="1934">
      <formula>IF($B37="Quoting",TRUE,FALSE)</formula>
    </cfRule>
    <cfRule type="expression" dxfId="300" priority="1935">
      <formula>IF($B37="Quoting",TRUE,FALSE)</formula>
    </cfRule>
    <cfRule type="expression" dxfId="299" priority="1936">
      <formula>IF($B37="Quoting",TRUE,FALSE)</formula>
    </cfRule>
    <cfRule type="expression" dxfId="298" priority="1937">
      <formula>IF($B37="Quoting",TRUE,FALSE)</formula>
    </cfRule>
    <cfRule type="expression" dxfId="297" priority="1938">
      <formula>IF($B37="Quoting",TRUE,FALSE)</formula>
    </cfRule>
    <cfRule type="expression" dxfId="296" priority="1939">
      <formula>IF($B37="Quoting",TRUE,FALSE)</formula>
    </cfRule>
    <cfRule type="expression" dxfId="295" priority="1940">
      <formula>IF($B37="Quoting",TRUE,FALSE)</formula>
    </cfRule>
    <cfRule type="expression" dxfId="294" priority="1941">
      <formula>IF($B37="Quoting",TRUE,FALSE)</formula>
    </cfRule>
    <cfRule type="expression" dxfId="293" priority="1942">
      <formula>IF($B37="Quoting",TRUE,FALSE)</formula>
    </cfRule>
    <cfRule type="expression" dxfId="292" priority="1943">
      <formula>IF($B37="Quoting",TRUE,FALSE)</formula>
    </cfRule>
    <cfRule type="expression" dxfId="291" priority="1944">
      <formula>IF($B37="Quoting",TRUE,FALSE)</formula>
    </cfRule>
    <cfRule type="expression" dxfId="290" priority="1945">
      <formula>IF($B37="Quoting",TRUE,FALSE)</formula>
    </cfRule>
    <cfRule type="expression" dxfId="289" priority="1946">
      <formula>IF($B37="Quoting",TRUE,FALSE)</formula>
    </cfRule>
    <cfRule type="expression" dxfId="288" priority="1947">
      <formula>IF($B37="Quoting",TRUE,FALSE)</formula>
    </cfRule>
    <cfRule type="expression" dxfId="287" priority="1948">
      <formula>IF($B37="Quoting",TRUE,FALSE)</formula>
    </cfRule>
    <cfRule type="expression" dxfId="286" priority="1949">
      <formula>IF($B37="Quoting",TRUE,FALSE)</formula>
    </cfRule>
    <cfRule type="expression" dxfId="285" priority="1950">
      <formula>IF($B37="Quoting",TRUE,FALSE)</formula>
    </cfRule>
    <cfRule type="expression" dxfId="284" priority="1951">
      <formula>IF($B37="Quoting",TRUE,FALSE)</formula>
    </cfRule>
    <cfRule type="expression" dxfId="283" priority="1952">
      <formula>IF($B37="Quoting",TRUE,FALSE)</formula>
    </cfRule>
    <cfRule type="expression" dxfId="282" priority="1953">
      <formula>IF($B37="Quoting",TRUE,FALSE)</formula>
    </cfRule>
    <cfRule type="expression" dxfId="281" priority="1954">
      <formula>IF($B37="Quoting",TRUE,FALSE)</formula>
    </cfRule>
    <cfRule type="expression" dxfId="280" priority="1955">
      <formula>IF($B37="Quoting",TRUE,FALSE)</formula>
    </cfRule>
    <cfRule type="expression" dxfId="279" priority="1956">
      <formula>IF($B37="Quoting",TRUE,FALSE)</formula>
    </cfRule>
    <cfRule type="expression" dxfId="278" priority="1957">
      <formula>IF($B37="Quoting",TRUE,FALSE)</formula>
    </cfRule>
    <cfRule type="expression" dxfId="277" priority="1958">
      <formula>IF($B37="Quoting",TRUE,FALSE)</formula>
    </cfRule>
    <cfRule type="expression" dxfId="276" priority="1959">
      <formula>IF($B37="Quoting",TRUE,FALSE)</formula>
    </cfRule>
    <cfRule type="expression" dxfId="275" priority="1960">
      <formula>IF($B37="Quoting",TRUE,FALSE)</formula>
    </cfRule>
    <cfRule type="expression" dxfId="274" priority="1961">
      <formula>IF($B37="Quoting",TRUE,FALSE)</formula>
    </cfRule>
    <cfRule type="expression" dxfId="273" priority="1962">
      <formula>IF($B37="Quoting",TRUE,FALSE)</formula>
    </cfRule>
    <cfRule type="expression" dxfId="272" priority="1963">
      <formula>IF($B37="Quoting",TRUE,FALSE)</formula>
    </cfRule>
    <cfRule type="expression" dxfId="271" priority="1964">
      <formula>IF($B37="Quoting",TRUE,FALSE)</formula>
    </cfRule>
    <cfRule type="expression" dxfId="270" priority="1965">
      <formula>IF($B37="Quoting",TRUE,FALSE)</formula>
    </cfRule>
    <cfRule type="expression" dxfId="269" priority="1966">
      <formula>IF($B37="Quoting",TRUE,FALSE)</formula>
    </cfRule>
    <cfRule type="expression" dxfId="268" priority="1967">
      <formula>IF($B37="Quoting",TRUE,FALSE)</formula>
    </cfRule>
    <cfRule type="expression" dxfId="267" priority="1968">
      <formula>IF($B37="Quoting",TRUE,FALSE)</formula>
    </cfRule>
    <cfRule type="expression" dxfId="266" priority="1969">
      <formula>IF($B37="Quoting",TRUE,FALSE)</formula>
    </cfRule>
    <cfRule type="expression" dxfId="265" priority="1970">
      <formula>IF($B37="Quoting",TRUE,FALSE)</formula>
    </cfRule>
    <cfRule type="expression" dxfId="264" priority="1971">
      <formula>IF($B37="Quoting",TRUE,FALSE)</formula>
    </cfRule>
    <cfRule type="expression" dxfId="263" priority="1972">
      <formula>IF($B37="Quoting",TRUE,FALSE)</formula>
    </cfRule>
    <cfRule type="expression" dxfId="262" priority="1973">
      <formula>IF($B37="Quoting",TRUE,FALSE)</formula>
    </cfRule>
    <cfRule type="expression" dxfId="261" priority="1974">
      <formula>IF($B37="Quoting",TRUE,FALSE)</formula>
    </cfRule>
    <cfRule type="expression" dxfId="260" priority="1975">
      <formula>IF($B37="Quoting",TRUE,FALSE)</formula>
    </cfRule>
    <cfRule type="expression" dxfId="259" priority="1976">
      <formula>IF($B37="Quoting",TRUE,FALSE)</formula>
    </cfRule>
    <cfRule type="expression" dxfId="258" priority="1977">
      <formula>IF($B37="Quoting",TRUE,FALSE)</formula>
    </cfRule>
    <cfRule type="expression" dxfId="257" priority="1978">
      <formula>IF($B37="Quoting",TRUE,FALSE)</formula>
    </cfRule>
    <cfRule type="expression" dxfId="256" priority="1979">
      <formula>IF($B37="Quoting",TRUE,FALSE)</formula>
    </cfRule>
    <cfRule type="expression" dxfId="255" priority="1980">
      <formula>IF($B37="Quoting",TRUE,FALSE)</formula>
    </cfRule>
    <cfRule type="expression" dxfId="254" priority="1981">
      <formula>IF($B37="Quoting",TRUE,FALSE)</formula>
    </cfRule>
    <cfRule type="expression" dxfId="253" priority="1982">
      <formula>IF($B37="Quoting",TRUE,FALSE)</formula>
    </cfRule>
    <cfRule type="expression" dxfId="252" priority="1983">
      <formula>IF($B37="Quoting",TRUE,FALSE)</formula>
    </cfRule>
    <cfRule type="expression" dxfId="251" priority="1984">
      <formula>IF($B37="Quoting",TRUE,FALSE)</formula>
    </cfRule>
    <cfRule type="expression" dxfId="250" priority="1985">
      <formula>IF($B37="Quoting",TRUE,FALSE)</formula>
    </cfRule>
    <cfRule type="expression" dxfId="249" priority="1986">
      <formula>IF($B37="Quoting",TRUE,FALSE)</formula>
    </cfRule>
    <cfRule type="expression" dxfId="248" priority="1987">
      <formula>IF($B37="Quoting",TRUE,FALSE)</formula>
    </cfRule>
    <cfRule type="expression" dxfId="247" priority="1988">
      <formula>IF($B37="Quoting",TRUE,FALSE)</formula>
    </cfRule>
    <cfRule type="expression" dxfId="246" priority="1989">
      <formula>IF($B37="Quoting",TRUE,FALSE)</formula>
    </cfRule>
    <cfRule type="expression" dxfId="245" priority="1990">
      <formula>IF($B37="Quoting",TRUE,FALSE)</formula>
    </cfRule>
    <cfRule type="expression" dxfId="244" priority="1991">
      <formula>IF($B37="Quoting",TRUE,FALSE)</formula>
    </cfRule>
    <cfRule type="expression" dxfId="243" priority="1992">
      <formula>IF($B37="Quoting",TRUE,FALSE)</formula>
    </cfRule>
    <cfRule type="expression" dxfId="242" priority="1993">
      <formula>IF($B37="Quoting",TRUE,FALSE)</formula>
    </cfRule>
    <cfRule type="expression" dxfId="241" priority="1994">
      <formula>IF($B37="Quoting",TRUE,FALSE)</formula>
    </cfRule>
    <cfRule type="expression" dxfId="240" priority="1995">
      <formula>IF($B37="Quoting",TRUE,FALSE)</formula>
    </cfRule>
    <cfRule type="expression" dxfId="239" priority="1996">
      <formula>IF($B37="Quoting",TRUE,FALSE)</formula>
    </cfRule>
    <cfRule type="expression" dxfId="238" priority="1997">
      <formula>IF($B37="Quoting",TRUE,FALSE)</formula>
    </cfRule>
    <cfRule type="expression" dxfId="237" priority="1998">
      <formula>IF($B37="Quoting",TRUE,FALSE)</formula>
    </cfRule>
    <cfRule type="expression" dxfId="236" priority="1999">
      <formula>IF($B37="Quoting",TRUE,FALSE)</formula>
    </cfRule>
    <cfRule type="expression" dxfId="235" priority="2000">
      <formula>IF($B37="Quoting",TRUE,FALSE)</formula>
    </cfRule>
    <cfRule type="expression" dxfId="234" priority="2001">
      <formula>IF($B37="Quoting",TRUE,FALSE)</formula>
    </cfRule>
    <cfRule type="expression" dxfId="233" priority="2002">
      <formula>IF($B37="Quoting",TRUE,FALSE)</formula>
    </cfRule>
    <cfRule type="expression" dxfId="232" priority="2003">
      <formula>IF($B37="Quoting",TRUE,FALSE)</formula>
    </cfRule>
    <cfRule type="expression" dxfId="231" priority="2004">
      <formula>IF($B37="Quoting",TRUE,FALSE)</formula>
    </cfRule>
    <cfRule type="expression" dxfId="230" priority="2005">
      <formula>IF($B37="Quoting",TRUE,FALSE)</formula>
    </cfRule>
    <cfRule type="expression" dxfId="229" priority="2006">
      <formula>IF($B37="Quoting",TRUE,FALSE)</formula>
    </cfRule>
    <cfRule type="expression" dxfId="228" priority="2007">
      <formula>IF($B37="Quoting",TRUE,FALSE)</formula>
    </cfRule>
    <cfRule type="expression" dxfId="227" priority="2008">
      <formula>IF($B37="Quoting",TRUE,FALSE)</formula>
    </cfRule>
    <cfRule type="expression" dxfId="226" priority="2009">
      <formula>IF($B37="Quoting",TRUE,FALSE)</formula>
    </cfRule>
    <cfRule type="expression" dxfId="225" priority="2010">
      <formula>IF($B37="Quoting",TRUE,FALSE)</formula>
    </cfRule>
    <cfRule type="expression" dxfId="224" priority="2011">
      <formula>IF($B37="Quoting",TRUE,FALSE)</formula>
    </cfRule>
    <cfRule type="expression" dxfId="223" priority="2012">
      <formula>IF($B37="Quoting",TRUE,FALSE)</formula>
    </cfRule>
    <cfRule type="expression" dxfId="222" priority="2013">
      <formula>IF($B37="Quoting",TRUE,FALSE)</formula>
    </cfRule>
    <cfRule type="expression" dxfId="221" priority="2014">
      <formula>IF($B37="Quoting",TRUE,FALSE)</formula>
    </cfRule>
    <cfRule type="expression" dxfId="220" priority="2015">
      <formula>IF($B37="Quoting",TRUE,FALSE)</formula>
    </cfRule>
    <cfRule type="expression" dxfId="219" priority="2016">
      <formula>IF($B37="Quoting",TRUE,FALSE)</formula>
    </cfRule>
    <cfRule type="expression" dxfId="218" priority="2017">
      <formula>IF($B37="Quoting",TRUE,FALSE)</formula>
    </cfRule>
    <cfRule type="expression" dxfId="217" priority="2018">
      <formula>IF($B37="Quoting",TRUE,FALSE)</formula>
    </cfRule>
    <cfRule type="expression" dxfId="216" priority="2019">
      <formula>IF($B37="Quoting",TRUE,FALSE)</formula>
    </cfRule>
    <cfRule type="expression" dxfId="215" priority="2020">
      <formula>IF($B37="Quoting",TRUE,FALSE)</formula>
    </cfRule>
    <cfRule type="expression" dxfId="214" priority="2021">
      <formula>IF($B37="Quoting",TRUE,FALSE)</formula>
    </cfRule>
    <cfRule type="expression" dxfId="213" priority="2022">
      <formula>IF($B37="Quoting",TRUE,FALSE)</formula>
    </cfRule>
    <cfRule type="expression" dxfId="212" priority="2023">
      <formula>IF($B37="Quoting",TRUE,FALSE)</formula>
    </cfRule>
    <cfRule type="expression" dxfId="211" priority="2024">
      <formula>IF($B37="Quoting",TRUE,FALSE)</formula>
    </cfRule>
    <cfRule type="expression" dxfId="210" priority="2025">
      <formula>IF($B37="Quoting",TRUE,FALSE)</formula>
    </cfRule>
    <cfRule type="expression" dxfId="209" priority="2026">
      <formula>IF($B37="Quoting",TRUE,FALSE)</formula>
    </cfRule>
    <cfRule type="expression" dxfId="208" priority="2027">
      <formula>IF($B37="Quoting",TRUE,FALSE)</formula>
    </cfRule>
    <cfRule type="expression" dxfId="207" priority="2028">
      <formula>IF($B37="Quoting",TRUE,FALSE)</formula>
    </cfRule>
    <cfRule type="expression" dxfId="206" priority="2029">
      <formula>IF($B37="Quoting",TRUE,FALSE)</formula>
    </cfRule>
    <cfRule type="expression" dxfId="205" priority="2030">
      <formula>IF($B37="Quoting",TRUE,FALSE)</formula>
    </cfRule>
    <cfRule type="expression" dxfId="204" priority="2031">
      <formula>IF($B37="Quoting",TRUE,FALSE)</formula>
    </cfRule>
    <cfRule type="expression" dxfId="203" priority="2032">
      <formula>IF($B37="Quoting",TRUE,FALSE)</formula>
    </cfRule>
    <cfRule type="expression" dxfId="202" priority="2033">
      <formula>IF($B37="Quoting",TRUE,FALSE)</formula>
    </cfRule>
    <cfRule type="expression" dxfId="201" priority="2034">
      <formula>IF($B37="Quoting",TRUE,FALSE)</formula>
    </cfRule>
    <cfRule type="expression" dxfId="200" priority="2035">
      <formula>IF($B37="Quoting",TRUE,FALSE)</formula>
    </cfRule>
    <cfRule type="expression" dxfId="199" priority="2036">
      <formula>IF($B37="Quoting",TRUE,FALSE)</formula>
    </cfRule>
    <cfRule type="expression" dxfId="198" priority="2037">
      <formula>IF($B37="Quoting",TRUE,FALSE)</formula>
    </cfRule>
    <cfRule type="expression" dxfId="197" priority="2038">
      <formula>IF($B37="Quoting",TRUE,FALSE)</formula>
    </cfRule>
    <cfRule type="expression" dxfId="196" priority="2039">
      <formula>IF($B37="Quoting",TRUE,FALSE)</formula>
    </cfRule>
    <cfRule type="expression" dxfId="195" priority="2040">
      <formula>IF($B37="Quoting",TRUE,FALSE)</formula>
    </cfRule>
    <cfRule type="expression" dxfId="194" priority="2041">
      <formula>IF($B37="Quoting",TRUE,FALSE)</formula>
    </cfRule>
    <cfRule type="expression" dxfId="193" priority="2042">
      <formula>IF($B37="Quoting",TRUE,FALSE)</formula>
    </cfRule>
    <cfRule type="expression" dxfId="192" priority="2043">
      <formula>IF($B37="Quoting",TRUE,FALSE)</formula>
    </cfRule>
    <cfRule type="expression" dxfId="191" priority="2044">
      <formula>IF($B37="Quoting",TRUE,FALSE)</formula>
    </cfRule>
    <cfRule type="expression" dxfId="190" priority="2045">
      <formula>IF($B37="Quoting",TRUE,FALSE)</formula>
    </cfRule>
    <cfRule type="expression" dxfId="189" priority="2046">
      <formula>IF($B37="Quoting",TRUE,FALSE)</formula>
    </cfRule>
    <cfRule type="expression" dxfId="188" priority="2047">
      <formula>IF($B37="Quoting",TRUE,FALSE)</formula>
    </cfRule>
    <cfRule type="expression" dxfId="187" priority="2048">
      <formula>IF($B37="Quoting",TRUE,FALSE)</formula>
    </cfRule>
    <cfRule type="expression" dxfId="186" priority="2049">
      <formula>IF($B37="Quoting",TRUE,FALSE)</formula>
    </cfRule>
    <cfRule type="expression" dxfId="185" priority="2050">
      <formula>IF($B37="Quoting",TRUE,FALSE)</formula>
    </cfRule>
    <cfRule type="expression" dxfId="184" priority="2051">
      <formula>IF($B37="Quoting",TRUE,FALSE)</formula>
    </cfRule>
    <cfRule type="expression" dxfId="183" priority="2052">
      <formula>IF($B37="Quoting",TRUE,FALSE)</formula>
    </cfRule>
    <cfRule type="expression" dxfId="182" priority="2053">
      <formula>IF($B37="Quoting",TRUE,FALSE)</formula>
    </cfRule>
    <cfRule type="expression" dxfId="181" priority="2054">
      <formula>IF($B37="Quoting",TRUE,FALSE)</formula>
    </cfRule>
    <cfRule type="expression" dxfId="180" priority="2055">
      <formula>IF($B37="Quoting",TRUE,FALSE)</formula>
    </cfRule>
    <cfRule type="expression" dxfId="179" priority="2056">
      <formula>IF($B37="Quoting",TRUE,FALSE)</formula>
    </cfRule>
    <cfRule type="expression" dxfId="178" priority="2057">
      <formula>IF($B37="Quoting",TRUE,FALSE)</formula>
    </cfRule>
    <cfRule type="expression" dxfId="177" priority="2058">
      <formula>IF($B37="Quoting",TRUE,FALSE)</formula>
    </cfRule>
    <cfRule type="expression" dxfId="176" priority="2059">
      <formula>IF($B37="Quoting",TRUE,FALSE)</formula>
    </cfRule>
    <cfRule type="expression" dxfId="175" priority="2060">
      <formula>IF($B37="Quoting",TRUE,FALSE)</formula>
    </cfRule>
    <cfRule type="expression" dxfId="174" priority="2061">
      <formula>IF($B37="Quoting",TRUE,FALSE)</formula>
    </cfRule>
    <cfRule type="expression" dxfId="173" priority="2062">
      <formula>IF($B37="Quoting",TRUE,FALSE)</formula>
    </cfRule>
    <cfRule type="expression" dxfId="172" priority="2063">
      <formula>IF($B37="Quoting",TRUE,FALSE)</formula>
    </cfRule>
    <cfRule type="expression" dxfId="171" priority="2064">
      <formula>IF($B37="Quoting",TRUE,FALSE)</formula>
    </cfRule>
    <cfRule type="expression" dxfId="170" priority="2065">
      <formula>IF($B37="Quoting",TRUE,FALSE)</formula>
    </cfRule>
    <cfRule type="expression" dxfId="169" priority="2066">
      <formula>IF($B37="Quoting",TRUE,FALSE)</formula>
    </cfRule>
    <cfRule type="expression" dxfId="168" priority="2067">
      <formula>IF($B37="Quoting",TRUE,FALSE)</formula>
    </cfRule>
    <cfRule type="expression" dxfId="167" priority="2068">
      <formula>IF($B37="Quoting",TRUE,FALSE)</formula>
    </cfRule>
    <cfRule type="expression" dxfId="166" priority="2069">
      <formula>IF($B37="Quoting",TRUE,FALSE)</formula>
    </cfRule>
  </conditionalFormatting>
  <conditionalFormatting sqref="H31:M31">
    <cfRule type="expression" dxfId="165" priority="24057">
      <formula>IF($B31="Custom Quote",TRUE,FALSE)</formula>
    </cfRule>
  </conditionalFormatting>
  <conditionalFormatting sqref="H35:AH35">
    <cfRule type="expression" dxfId="164" priority="20058">
      <formula>IF($B35="Custom Quote",TRUE,FALSE)</formula>
    </cfRule>
  </conditionalFormatting>
  <conditionalFormatting sqref="J35:S35">
    <cfRule type="expression" dxfId="163" priority="20057">
      <formula>IF($B35="Custom Quote",TRUE,FALSE)</formula>
    </cfRule>
  </conditionalFormatting>
  <conditionalFormatting sqref="M6:M9 M11:M29 M4 M31:M1048576">
    <cfRule type="cellIs" dxfId="162" priority="148602" operator="equal">
      <formula>"NOT EXEMPT"</formula>
    </cfRule>
    <cfRule type="containsText" dxfId="161" priority="148604" operator="containsText" text="NEED FORM">
      <formula>NOT(ISERROR(SEARCH("NEED FORM",M4)))</formula>
    </cfRule>
  </conditionalFormatting>
  <conditionalFormatting sqref="M1:M1048576">
    <cfRule type="containsText" dxfId="160" priority="148596" operator="containsText" text="NOT EXEMPT">
      <formula>NOT(ISERROR(SEARCH("NOT EXEMPT",M1)))</formula>
    </cfRule>
  </conditionalFormatting>
  <conditionalFormatting sqref="M1:M3">
    <cfRule type="cellIs" dxfId="159" priority="148595" operator="equal">
      <formula>"NOT EXEMPT"</formula>
    </cfRule>
    <cfRule type="containsText" dxfId="158" priority="148597" operator="containsText" text="NEED FORM">
      <formula>NOT(ISERROR(SEARCH("NEED FORM",M1)))</formula>
    </cfRule>
  </conditionalFormatting>
  <conditionalFormatting sqref="I11:R11 C11 T11:AAA11 AJ13:AAA15 C14:AAA14 C14:AK15 C12:G13 I12:AK13 H11:H13 C4:AAA10">
    <cfRule type="expression" dxfId="157" priority="132757">
      <formula>IF($B4="VOID",TRUE,FALSE)</formula>
    </cfRule>
  </conditionalFormatting>
  <conditionalFormatting sqref="M5">
    <cfRule type="cellIs" dxfId="156" priority="52209" operator="equal">
      <formula>"NOT EXEMPT"</formula>
    </cfRule>
    <cfRule type="containsText" dxfId="155" priority="52210" operator="containsText" text="NEED FORM">
      <formula>NOT(ISERROR(SEARCH("NEED FORM",M5)))</formula>
    </cfRule>
  </conditionalFormatting>
  <conditionalFormatting sqref="M9">
    <cfRule type="cellIs" dxfId="154" priority="51126" operator="equal">
      <formula>"NOT EXEMPT"</formula>
    </cfRule>
    <cfRule type="containsText" dxfId="153" priority="51127" operator="containsText" text="NEED FORM">
      <formula>NOT(ISERROR(SEARCH("NEED FORM",M9)))</formula>
    </cfRule>
  </conditionalFormatting>
  <conditionalFormatting sqref="M10">
    <cfRule type="cellIs" dxfId="152" priority="50839" operator="equal">
      <formula>"NOT EXEMPT"</formula>
    </cfRule>
    <cfRule type="containsText" dxfId="151" priority="50840" operator="containsText" text="NEED FORM">
      <formula>NOT(ISERROR(SEARCH("NEED FORM",M10)))</formula>
    </cfRule>
  </conditionalFormatting>
  <conditionalFormatting sqref="M30">
    <cfRule type="cellIs" dxfId="150" priority="26727" operator="equal">
      <formula>"NOT EXEMPT"</formula>
    </cfRule>
    <cfRule type="containsText" dxfId="149" priority="26728" operator="containsText" text="NEED FORM">
      <formula>NOT(ISERROR(SEARCH("NEED FORM",M30)))</formula>
    </cfRule>
  </conditionalFormatting>
  <conditionalFormatting sqref="O31:AAA31">
    <cfRule type="expression" dxfId="148" priority="24056">
      <formula>IF($B31="VOID",TRUE,FALSE)</formula>
    </cfRule>
  </conditionalFormatting>
  <conditionalFormatting sqref="S1">
    <cfRule type="expression" dxfId="147" priority="148662">
      <formula>IF($B1="Custom Quote",TRUE,FALSE)</formula>
    </cfRule>
    <cfRule type="expression" dxfId="146" priority="148663">
      <formula>IF($B1="VOID",TRUE,FALSE)</formula>
    </cfRule>
    <cfRule type="expression" dxfId="145" priority="148664">
      <formula>IF($B1="Larry",TRUE,FALSE)</formula>
    </cfRule>
    <cfRule type="expression" dxfId="144" priority="148665">
      <formula>IF($B1="Cathy",TRUE,FALSE)</formula>
    </cfRule>
    <cfRule type="expression" dxfId="143" priority="148666">
      <formula>IF($B1="ISSUE",TRUE,FALSE)</formula>
    </cfRule>
    <cfRule type="expression" dxfId="142" priority="148667">
      <formula>IF($B1="Purchased",TRUE,FALSE)</formula>
    </cfRule>
    <cfRule type="expression" dxfId="141" priority="148668">
      <formula>IF($B1="Requoted",TRUE,FALSE)</formula>
    </cfRule>
    <cfRule type="expression" dxfId="140" priority="148669">
      <formula>IF($B1="Quote Sent",TRUE,FALSE)</formula>
    </cfRule>
    <cfRule type="expression" dxfId="139" priority="148670">
      <formula>IF($B1="Max",TRUE,FALSE)</formula>
    </cfRule>
    <cfRule type="expression" dxfId="138" priority="148671">
      <formula>IF($B1="Quoting",TRUE,FALSE)</formula>
    </cfRule>
  </conditionalFormatting>
  <conditionalFormatting sqref="S11">
    <cfRule type="expression" dxfId="137" priority="50535">
      <formula>IF($B11="Custom Quote",TRUE,FALSE)</formula>
    </cfRule>
    <cfRule type="expression" dxfId="136" priority="50536">
      <formula>IF($B11="VOID",TRUE,FALSE)</formula>
    </cfRule>
    <cfRule type="expression" dxfId="135" priority="50537">
      <formula>IF($B11="Custom Quote",TRUE,FALSE)</formula>
    </cfRule>
    <cfRule type="expression" dxfId="134" priority="50538">
      <formula>IF($B11="VOID",TRUE,FALSE)</formula>
    </cfRule>
    <cfRule type="expression" dxfId="133" priority="50539">
      <formula>IF($B11="LOST",TRUE,FALSE)</formula>
    </cfRule>
    <cfRule type="expression" dxfId="132" priority="50540">
      <formula>IF($B11="Larry",TRUE,FALSE)</formula>
    </cfRule>
    <cfRule type="expression" dxfId="131" priority="50541">
      <formula>IF($B11="Cathy",TRUE,FALSE)</formula>
    </cfRule>
    <cfRule type="expression" dxfId="130" priority="50542">
      <formula>IF($B11="ISSUE",TRUE,FALSE)</formula>
    </cfRule>
    <cfRule type="expression" dxfId="129" priority="50543">
      <formula>IF($B11="Purchased",TRUE,FALSE)</formula>
    </cfRule>
    <cfRule type="expression" dxfId="128" priority="50544">
      <formula>IF($B11="Requoted",TRUE,FALSE)</formula>
    </cfRule>
    <cfRule type="expression" dxfId="127" priority="50545">
      <formula>IF($B11="Quote Sent",TRUE,FALSE)</formula>
    </cfRule>
    <cfRule type="expression" dxfId="126" priority="50546">
      <formula>IF($B11="Max",TRUE,FALSE)</formula>
    </cfRule>
    <cfRule type="expression" dxfId="125" priority="50547">
      <formula>IF($B11="Quoting",TRUE,FALSE)</formula>
    </cfRule>
  </conditionalFormatting>
  <conditionalFormatting sqref="T1:X1 AE1">
    <cfRule type="cellIs" dxfId="124" priority="148714" stopIfTrue="1" operator="greaterThan">
      <formula>1</formula>
    </cfRule>
    <cfRule type="cellIs" dxfId="123" priority="148715" stopIfTrue="1" operator="greaterThan">
      <formula>0</formula>
    </cfRule>
  </conditionalFormatting>
  <conditionalFormatting sqref="V28:W28">
    <cfRule type="expression" dxfId="122" priority="47618">
      <formula>IF($B28="VOID",TRUE,FALSE)</formula>
    </cfRule>
  </conditionalFormatting>
  <conditionalFormatting sqref="AD23:AH23">
    <cfRule type="expression" dxfId="121" priority="49044">
      <formula>IF($B23="Larry",TRUE,FALSE)</formula>
    </cfRule>
    <cfRule type="expression" dxfId="120" priority="49045">
      <formula>IF($B23="VOID",TRUE,FALSE)</formula>
    </cfRule>
  </conditionalFormatting>
  <conditionalFormatting sqref="AD25:AH25">
    <cfRule type="expression" dxfId="119" priority="49046">
      <formula>IF($B25="Larry",TRUE,FALSE)</formula>
    </cfRule>
    <cfRule type="expression" dxfId="118" priority="49047">
      <formula>IF($B25="VOID",TRUE,FALSE)</formula>
    </cfRule>
  </conditionalFormatting>
  <conditionalFormatting sqref="AD26:AH26">
    <cfRule type="expression" dxfId="117" priority="49038">
      <formula>IF($B26="Larry",TRUE,FALSE)</formula>
    </cfRule>
    <cfRule type="expression" dxfId="116" priority="49039">
      <formula>IF($B26="VOID",TRUE,FALSE)</formula>
    </cfRule>
  </conditionalFormatting>
  <conditionalFormatting sqref="AD35:AH35">
    <cfRule type="expression" dxfId="115" priority="20054">
      <formula>IF($B35="Custom Quote",TRUE,FALSE)</formula>
    </cfRule>
    <cfRule type="expression" dxfId="114" priority="20055">
      <formula>IF($B35="VOID",TRUE,FALSE)</formula>
    </cfRule>
  </conditionalFormatting>
  <conditionalFormatting sqref="AD36:AH36">
    <cfRule type="expression" dxfId="113" priority="12601">
      <formula>IF($B36="LOST",TRUE,FALSE)</formula>
    </cfRule>
    <cfRule type="expression" dxfId="112" priority="12602">
      <formula>IF($B36="Larry",TRUE,FALSE)</formula>
    </cfRule>
    <cfRule type="expression" dxfId="111" priority="12603">
      <formula>IF($B36="Cathy",TRUE,FALSE)</formula>
    </cfRule>
    <cfRule type="expression" dxfId="110" priority="12604">
      <formula>IF($B36="ISSUE",TRUE,FALSE)</formula>
    </cfRule>
    <cfRule type="expression" dxfId="109" priority="12605">
      <formula>IF($B36="Purchased",TRUE,FALSE)</formula>
    </cfRule>
    <cfRule type="expression" dxfId="108" priority="12606">
      <formula>IF($B36="Requoted",TRUE,FALSE)</formula>
    </cfRule>
    <cfRule type="expression" dxfId="107" priority="12607">
      <formula>IF($B36="Quote Sent",TRUE,FALSE)</formula>
    </cfRule>
    <cfRule type="expression" dxfId="106" priority="12608">
      <formula>IF($B36="Max",TRUE,FALSE)</formula>
    </cfRule>
    <cfRule type="expression" dxfId="105" priority="12609">
      <formula>IF($B36="Quoting",TRUE,FALSE)</formula>
    </cfRule>
    <cfRule type="expression" dxfId="104" priority="12610">
      <formula>IF($B36="VOID",TRUE,FALSE)</formula>
    </cfRule>
  </conditionalFormatting>
  <conditionalFormatting sqref="AD37:AH37">
    <cfRule type="expression" dxfId="103" priority="13">
      <formula>IF($B37="LOST",TRUE,FALSE)</formula>
    </cfRule>
    <cfRule type="expression" dxfId="102" priority="14">
      <formula>IF($B37="Larry",TRUE,FALSE)</formula>
    </cfRule>
    <cfRule type="expression" dxfId="101" priority="15">
      <formula>IF($B37="Cathy",TRUE,FALSE)</formula>
    </cfRule>
    <cfRule type="expression" dxfId="100" priority="16">
      <formula>IF($B37="ISSUE",TRUE,FALSE)</formula>
    </cfRule>
    <cfRule type="expression" dxfId="99" priority="17">
      <formula>IF($B37="Purchased",TRUE,FALSE)</formula>
    </cfRule>
    <cfRule type="expression" dxfId="98" priority="18">
      <formula>IF($B37="Requoted",TRUE,FALSE)</formula>
    </cfRule>
    <cfRule type="expression" dxfId="97" priority="19">
      <formula>IF($B37="Quote Sent",TRUE,FALSE)</formula>
    </cfRule>
    <cfRule type="expression" dxfId="96" priority="20">
      <formula>IF($B37="Max",TRUE,FALSE)</formula>
    </cfRule>
    <cfRule type="expression" dxfId="95" priority="21">
      <formula>IF($B37="Quoting",TRUE,FALSE)</formula>
    </cfRule>
    <cfRule type="expression" dxfId="94" priority="22">
      <formula>IF($B37="VOID",TRUE,FALSE)</formula>
    </cfRule>
  </conditionalFormatting>
  <conditionalFormatting sqref="AH1:AI1">
    <cfRule type="cellIs" dxfId="93" priority="54573" stopIfTrue="1" operator="greaterThan">
      <formula>1</formula>
    </cfRule>
    <cfRule type="cellIs" dxfId="92" priority="54574" stopIfTrue="1" operator="greaterThan">
      <formula>0</formula>
    </cfRule>
  </conditionalFormatting>
  <conditionalFormatting sqref="AI3">
    <cfRule type="expression" dxfId="91" priority="54588">
      <formula>IF($B3="VOID",TRUE,FALSE)</formula>
    </cfRule>
    <cfRule type="expression" dxfId="90" priority="54589">
      <formula>IF($B3="Cathy",TRUE,FALSE)</formula>
    </cfRule>
    <cfRule type="expression" dxfId="89" priority="54590">
      <formula>IF($B3="ISSUE",TRUE,FALSE)</formula>
    </cfRule>
    <cfRule type="expression" dxfId="88" priority="54591">
      <formula>IF($B3="Purchased",TRUE,FALSE)</formula>
    </cfRule>
    <cfRule type="expression" dxfId="87" priority="54592">
      <formula>IF($B3="Requoted",TRUE,FALSE)</formula>
    </cfRule>
    <cfRule type="expression" dxfId="86" priority="54593">
      <formula>IF($B3="Quote Sent",TRUE,FALSE)</formula>
    </cfRule>
    <cfRule type="expression" dxfId="85" priority="54594">
      <formula>IF($B3="Quoting",TRUE,FALSE)</formula>
    </cfRule>
    <cfRule type="expression" dxfId="84" priority="54595">
      <formula>IF($B3="Max",TRUE,FALSE)</formula>
    </cfRule>
    <cfRule type="expression" dxfId="83" priority="54600">
      <formula>IF($B3="Custom Quote",TRUE,FALSE)</formula>
    </cfRule>
  </conditionalFormatting>
  <conditionalFormatting sqref="AI9">
    <cfRule type="expression" dxfId="82" priority="51117">
      <formula>IF($B9="VOID",TRUE,FALSE)</formula>
    </cfRule>
    <cfRule type="expression" dxfId="81" priority="51118">
      <formula>IF($B9="Cathy",TRUE,FALSE)</formula>
    </cfRule>
    <cfRule type="expression" dxfId="80" priority="51119">
      <formula>IF($B9="ISSUE",TRUE,FALSE)</formula>
    </cfRule>
    <cfRule type="expression" dxfId="79" priority="51120">
      <formula>IF($B9="Purchased",TRUE,FALSE)</formula>
    </cfRule>
    <cfRule type="expression" dxfId="78" priority="51121">
      <formula>IF($B9="Requoted",TRUE,FALSE)</formula>
    </cfRule>
    <cfRule type="expression" dxfId="77" priority="51122">
      <formula>IF($B9="Quote Sent",TRUE,FALSE)</formula>
    </cfRule>
    <cfRule type="expression" dxfId="76" priority="51123">
      <formula>IF($B9="Quoting",TRUE,FALSE)</formula>
    </cfRule>
    <cfRule type="expression" dxfId="75" priority="51124">
      <formula>IF($B9="Max",TRUE,FALSE)</formula>
    </cfRule>
    <cfRule type="expression" dxfId="74" priority="51125">
      <formula>IF($B9="Custom Quote",TRUE,FALSE)</formula>
    </cfRule>
  </conditionalFormatting>
  <conditionalFormatting sqref="AI22">
    <cfRule type="expression" dxfId="73" priority="49341">
      <formula>IF($B22="Larry",TRUE,FALSE)</formula>
    </cfRule>
  </conditionalFormatting>
  <conditionalFormatting sqref="AI27">
    <cfRule type="expression" dxfId="72" priority="49033">
      <formula>IF($B27="Larry",TRUE,FALSE)</formula>
    </cfRule>
  </conditionalFormatting>
  <conditionalFormatting sqref="AI36">
    <cfRule type="expression" dxfId="71" priority="12600">
      <formula>IF($B36="LOST",TRUE,FALSE)</formula>
    </cfRule>
  </conditionalFormatting>
  <conditionalFormatting sqref="AI37">
    <cfRule type="expression" dxfId="70" priority="12">
      <formula>IF($B37="LOST",TRUE,FALSE)</formula>
    </cfRule>
  </conditionalFormatting>
  <conditionalFormatting sqref="AJ36">
    <cfRule type="expression" dxfId="69" priority="12590">
      <formula>IF($B36="LOST",TRUE,FALSE)</formula>
    </cfRule>
    <cfRule type="expression" dxfId="68" priority="12591">
      <formula>IF($B36="Larry",TRUE,FALSE)</formula>
    </cfRule>
    <cfRule type="expression" dxfId="67" priority="12592">
      <formula>IF($B36="Cathy",TRUE,FALSE)</formula>
    </cfRule>
    <cfRule type="expression" dxfId="66" priority="12593">
      <formula>IF($B36="ISSUE",TRUE,FALSE)</formula>
    </cfRule>
    <cfRule type="expression" dxfId="65" priority="12594">
      <formula>IF($B36="Purchased",TRUE,FALSE)</formula>
    </cfRule>
    <cfRule type="expression" dxfId="64" priority="12595">
      <formula>IF($B36="Requoted",TRUE,FALSE)</formula>
    </cfRule>
    <cfRule type="expression" dxfId="63" priority="12596">
      <formula>IF($B36="Quote Sent",TRUE,FALSE)</formula>
    </cfRule>
    <cfRule type="expression" dxfId="62" priority="12597">
      <formula>IF($B36="Max",TRUE,FALSE)</formula>
    </cfRule>
    <cfRule type="expression" dxfId="61" priority="12598">
      <formula>IF($B36="Quoting",TRUE,FALSE)</formula>
    </cfRule>
    <cfRule type="expression" dxfId="60" priority="12599">
      <formula>IF($B36="VOID",TRUE,FALSE)</formula>
    </cfRule>
  </conditionalFormatting>
  <conditionalFormatting sqref="AJ37">
    <cfRule type="expression" dxfId="59" priority="2">
      <formula>IF($B37="LOST",TRUE,FALSE)</formula>
    </cfRule>
    <cfRule type="expression" dxfId="58" priority="3">
      <formula>IF($B37="Larry",TRUE,FALSE)</formula>
    </cfRule>
    <cfRule type="expression" dxfId="57" priority="4">
      <formula>IF($B37="Cathy",TRUE,FALSE)</formula>
    </cfRule>
    <cfRule type="expression" dxfId="56" priority="5">
      <formula>IF($B37="ISSUE",TRUE,FALSE)</formula>
    </cfRule>
    <cfRule type="expression" dxfId="55" priority="6">
      <formula>IF($B37="Purchased",TRUE,FALSE)</formula>
    </cfRule>
    <cfRule type="expression" dxfId="54" priority="7">
      <formula>IF($B37="Requoted",TRUE,FALSE)</formula>
    </cfRule>
    <cfRule type="expression" dxfId="53" priority="8">
      <formula>IF($B37="Quote Sent",TRUE,FALSE)</formula>
    </cfRule>
    <cfRule type="expression" dxfId="52" priority="9">
      <formula>IF($B37="Max",TRUE,FALSE)</formula>
    </cfRule>
    <cfRule type="expression" dxfId="51" priority="10">
      <formula>IF($B37="Quoting",TRUE,FALSE)</formula>
    </cfRule>
    <cfRule type="expression" dxfId="50" priority="11">
      <formula>IF($B37="VOID",TRUE,FALSE)</formula>
    </cfRule>
  </conditionalFormatting>
  <conditionalFormatting sqref="AJ24:AAA24 C24:AH24">
    <cfRule type="expression" dxfId="49" priority="49056">
      <formula>IF($B24="VOID",TRUE,FALSE)</formula>
    </cfRule>
  </conditionalFormatting>
  <conditionalFormatting sqref="AJ16:XFD17 A16:AH17">
    <cfRule type="expression" dxfId="48" priority="49682">
      <formula>IF($B16="Larry",TRUE,FALSE)</formula>
    </cfRule>
  </conditionalFormatting>
  <conditionalFormatting sqref="AK12:AK15">
    <cfRule type="expression" dxfId="47" priority="50375">
      <formula>IF($B12="Custom Quote",TRUE,FALSE)</formula>
    </cfRule>
  </conditionalFormatting>
  <conditionalFormatting sqref="AK23">
    <cfRule type="expression" dxfId="46" priority="49301">
      <formula>IF($B23="Custom Quote",TRUE,FALSE)</formula>
    </cfRule>
  </conditionalFormatting>
  <conditionalFormatting sqref="AK31">
    <cfRule type="expression" dxfId="45" priority="24055">
      <formula>IF($B31="Custom Quote",TRUE,FALSE)</formula>
    </cfRule>
  </conditionalFormatting>
  <conditionalFormatting sqref="AK32">
    <cfRule type="expression" dxfId="44" priority="24046">
      <formula>IF($B32="Custom Quote",TRUE,FALSE)</formula>
    </cfRule>
  </conditionalFormatting>
  <conditionalFormatting sqref="AL12:AAA12">
    <cfRule type="expression" dxfId="43" priority="50368">
      <formula>IF($B12="Custom Quote",TRUE,FALSE)</formula>
    </cfRule>
    <cfRule type="expression" dxfId="42" priority="50369">
      <formula>IF($B12="VOID",TRUE,FALSE)</formula>
    </cfRule>
  </conditionalFormatting>
  <conditionalFormatting sqref="AL13:AAA13">
    <cfRule type="expression" dxfId="41" priority="50364">
      <formula>IF($B13="Custom Quote",TRUE,FALSE)</formula>
    </cfRule>
    <cfRule type="expression" dxfId="40" priority="50365">
      <formula>IF($B13="VOID",TRUE,FALSE)</formula>
    </cfRule>
  </conditionalFormatting>
  <conditionalFormatting sqref="AL14:AAA14">
    <cfRule type="expression" dxfId="39" priority="50360">
      <formula>IF($B14="Custom Quote",TRUE,FALSE)</formula>
    </cfRule>
    <cfRule type="expression" dxfId="38" priority="50361">
      <formula>IF($B14="VOID",TRUE,FALSE)</formula>
    </cfRule>
  </conditionalFormatting>
  <conditionalFormatting sqref="AL15:AAA15">
    <cfRule type="expression" dxfId="37" priority="50356">
      <formula>IF($B15="Custom Quote",TRUE,FALSE)</formula>
    </cfRule>
    <cfRule type="expression" dxfId="36" priority="50357">
      <formula>IF($B15="VOID",TRUE,FALSE)</formula>
    </cfRule>
  </conditionalFormatting>
  <conditionalFormatting sqref="AL16:AAA17">
    <cfRule type="expression" dxfId="35" priority="49683">
      <formula>IF($B16="Custom Quote",TRUE,FALSE)</formula>
    </cfRule>
    <cfRule type="expression" dxfId="34" priority="49684">
      <formula>IF($B16="VOID",TRUE,FALSE)</formula>
    </cfRule>
  </conditionalFormatting>
  <conditionalFormatting sqref="AL18:AAA19">
    <cfRule type="expression" dxfId="33" priority="49680">
      <formula>IF($B18="VOID",TRUE,FALSE)</formula>
    </cfRule>
  </conditionalFormatting>
  <conditionalFormatting sqref="AL20:AAA20">
    <cfRule type="expression" dxfId="32" priority="49506">
      <formula>IF($B20="Custom Quote",TRUE,FALSE)</formula>
    </cfRule>
  </conditionalFormatting>
  <conditionalFormatting sqref="AL22:AAA22">
    <cfRule type="expression" dxfId="31" priority="49339">
      <formula>IF($B22="VOID",TRUE,FALSE)</formula>
    </cfRule>
  </conditionalFormatting>
  <conditionalFormatting sqref="AL23:AAA23">
    <cfRule type="expression" dxfId="30" priority="49300">
      <formula>IF($B23="Custom Quote",TRUE,FALSE)</formula>
    </cfRule>
  </conditionalFormatting>
  <conditionalFormatting sqref="AL27:AAA27">
    <cfRule type="expression" dxfId="29" priority="49031">
      <formula>IF($B27="VOID",TRUE,FALSE)</formula>
    </cfRule>
  </conditionalFormatting>
  <conditionalFormatting sqref="AL31:AAA31">
    <cfRule type="expression" dxfId="28" priority="24054">
      <formula>IF($B31="Custom Quote",TRUE,FALSE)</formula>
    </cfRule>
  </conditionalFormatting>
  <conditionalFormatting sqref="AL32:AAA32">
    <cfRule type="expression" dxfId="27" priority="24045">
      <formula>IF($B32="Custom Quote",TRUE,FALSE)</formula>
    </cfRule>
  </conditionalFormatting>
  <conditionalFormatting sqref="AL33:AAA33">
    <cfRule type="expression" dxfId="26" priority="23501">
      <formula>IF($B33="VOID",TRUE,FALSE)</formula>
    </cfRule>
  </conditionalFormatting>
  <conditionalFormatting sqref="AL34:AAA34">
    <cfRule type="expression" dxfId="25" priority="23498">
      <formula>IF($B34="VOID",TRUE,FALSE)</formula>
    </cfRule>
  </conditionalFormatting>
  <conditionalFormatting sqref="AL31:AGC31">
    <cfRule type="expression" dxfId="24" priority="24052">
      <formula>IF($B31="LOST",TRUE,FALSE)</formula>
    </cfRule>
  </conditionalFormatting>
  <conditionalFormatting sqref="AL36:AGC36">
    <cfRule type="expression" dxfId="23" priority="12589">
      <formula>IF($B36="LOST",TRUE,FALSE)</formula>
    </cfRule>
  </conditionalFormatting>
  <conditionalFormatting sqref="AL37:AGC37">
    <cfRule type="expression" dxfId="22" priority="1">
      <formula>IF($B37="LOST",TRUE,FALSE)</formula>
    </cfRule>
  </conditionalFormatting>
  <conditionalFormatting sqref="AL4:XFD4">
    <cfRule type="expression" dxfId="21" priority="52212">
      <formula>IF($B4="LOST",TRUE,FALSE)</formula>
    </cfRule>
  </conditionalFormatting>
  <conditionalFormatting sqref="AL12:XFD12">
    <cfRule type="expression" dxfId="20" priority="50367">
      <formula>IF($B12="LOST",TRUE,FALSE)</formula>
    </cfRule>
  </conditionalFormatting>
  <conditionalFormatting sqref="AL13:XFD13">
    <cfRule type="expression" dxfId="19" priority="50363">
      <formula>IF($B13="LOST",TRUE,FALSE)</formula>
    </cfRule>
  </conditionalFormatting>
  <conditionalFormatting sqref="AL14:XFD14">
    <cfRule type="expression" dxfId="18" priority="49912">
      <formula>IF($B14="LOST",TRUE,FALSE)</formula>
    </cfRule>
    <cfRule type="expression" dxfId="17" priority="50359">
      <formula>IF($B14="LOST",TRUE,FALSE)</formula>
    </cfRule>
  </conditionalFormatting>
  <conditionalFormatting sqref="AL15:XFD15">
    <cfRule type="expression" dxfId="16" priority="50355">
      <formula>IF($B15="LOST",TRUE,FALSE)</formula>
    </cfRule>
  </conditionalFormatting>
  <conditionalFormatting sqref="AL23:XFD23">
    <cfRule type="expression" dxfId="15" priority="49298">
      <formula>IF($B23="LOST",TRUE,FALSE)</formula>
    </cfRule>
  </conditionalFormatting>
  <conditionalFormatting sqref="AL24:XFD24">
    <cfRule type="expression" dxfId="14" priority="49054">
      <formula>IF($B24="LOST",TRUE,FALSE)</formula>
    </cfRule>
  </conditionalFormatting>
  <conditionalFormatting sqref="AL25:XFD25">
    <cfRule type="expression" dxfId="13" priority="49048">
      <formula>IF($B25="LOST",TRUE,FALSE)</formula>
    </cfRule>
  </conditionalFormatting>
  <conditionalFormatting sqref="AL26:XFD26">
    <cfRule type="expression" dxfId="12" priority="49040">
      <formula>IF($B26="LOST",TRUE,FALSE)</formula>
    </cfRule>
  </conditionalFormatting>
  <conditionalFormatting sqref="AL32:XFD32">
    <cfRule type="expression" dxfId="11" priority="24043">
      <formula>IF($B32="LOST",TRUE,FALSE)</formula>
    </cfRule>
  </conditionalFormatting>
  <conditionalFormatting sqref="AGD35:XFD35">
    <cfRule type="expression" dxfId="10" priority="177523">
      <formula>IF(#REF!="LOST",TRUE,FALSE)</formula>
    </cfRule>
    <cfRule type="expression" dxfId="9" priority="177536">
      <formula>IF(#REF!="Max",TRUE,FALSE)</formula>
    </cfRule>
    <cfRule type="expression" dxfId="8" priority="177597">
      <formula>IF(#REF!="ISSUE",TRUE,FALSE)</formula>
    </cfRule>
    <cfRule type="expression" dxfId="7" priority="177598">
      <formula>IF(#REF!="Purchased",TRUE,FALSE)</formula>
    </cfRule>
    <cfRule type="expression" dxfId="6" priority="177599">
      <formula>IF(#REF!="Requoted",TRUE,FALSE)</formula>
    </cfRule>
    <cfRule type="expression" dxfId="5" priority="177600">
      <formula>IF(#REF!="Quote Sent",TRUE,FALSE)</formula>
    </cfRule>
    <cfRule type="expression" dxfId="4" priority="177601">
      <formula>IF(#REF!="Quoting",TRUE,FALSE)</formula>
    </cfRule>
    <cfRule type="expression" dxfId="3" priority="177614">
      <formula>IF(#REF!="Cathy",TRUE,FALSE)</formula>
    </cfRule>
    <cfRule type="expression" dxfId="2" priority="177618">
      <formula>IF(#REF!="Larry",TRUE,FALSE)</formula>
    </cfRule>
  </conditionalFormatting>
  <dataValidations count="1">
    <dataValidation type="list" showInputMessage="1" showErrorMessage="1" sqref="AK3:AK187" xr:uid="{08EC517D-34C5-4190-A301-092E74AD8074}">
      <formula1>"Existing, Web Unknown, Google, Linked-In, Phone Call, Trade Show, Referral, Thomasnet, -"</formula1>
    </dataValidation>
  </dataValidations>
  <hyperlinks>
    <hyperlink ref="P3" r:id="rId2" xr:uid="{00000000-0004-0000-0000-000019040000}"/>
    <hyperlink ref="P4" r:id="rId3" xr:uid="{B263F96F-0CFD-46AB-A063-3E3ECD49089A}"/>
    <hyperlink ref="P5" r:id="rId4" xr:uid="{F932AAEC-BBBE-444C-A67C-8A9B99E74EC9}"/>
    <hyperlink ref="P6" r:id="rId5" xr:uid="{2620DC90-CFB8-4320-8133-25F46E70838C}"/>
    <hyperlink ref="P7" r:id="rId6" xr:uid="{F80892D5-7117-4A11-9D4D-23C3D82B04D9}"/>
    <hyperlink ref="P8" r:id="rId7" xr:uid="{F2DEBE26-79B5-4087-BD4E-4E1709BE295A}"/>
    <hyperlink ref="P9" r:id="rId8" xr:uid="{032A356D-AAB0-4F85-9F60-CD7BC0CC335E}"/>
    <hyperlink ref="P10" r:id="rId9" xr:uid="{DE2CED20-9F1D-410E-B1EF-F4D3142FCED6}"/>
    <hyperlink ref="P11" r:id="rId10" xr:uid="{5136882D-6668-4C4B-A781-B4D17F930ADA}"/>
    <hyperlink ref="P12" r:id="rId11" xr:uid="{6179E4CA-02F8-411E-96E6-1079770A236F}"/>
    <hyperlink ref="P13" r:id="rId12" xr:uid="{73F16683-905F-4077-986D-12EB288F763A}"/>
    <hyperlink ref="P14" r:id="rId13" xr:uid="{6847C550-45AB-4FC9-9A23-816205CF0FB9}"/>
    <hyperlink ref="P15" r:id="rId14" xr:uid="{AD427EE9-0D67-4697-8FE3-D93978B8CB9E}"/>
    <hyperlink ref="P16" r:id="rId15" xr:uid="{F08CF597-DBB6-4131-9192-1C7720496C10}"/>
    <hyperlink ref="P17" r:id="rId16" xr:uid="{D5D4FA90-6882-42D1-ADAB-87C227072F28}"/>
    <hyperlink ref="P18" r:id="rId17" xr:uid="{4ECA2D5C-0D8C-4B67-8359-2D7D8BF7B70B}"/>
    <hyperlink ref="P19" r:id="rId18" xr:uid="{47AB04ED-4251-475F-A7A2-CDCDCDA83C16}"/>
    <hyperlink ref="P20" r:id="rId19" xr:uid="{AF3BD5B7-7B03-4B29-8BE4-13174815C60F}"/>
    <hyperlink ref="P21" r:id="rId20" xr:uid="{F4722543-AB70-428C-8147-E0B51E1824D7}"/>
    <hyperlink ref="P23" r:id="rId21" xr:uid="{7D4D93C9-CB31-4C32-A587-0FE0D496FE63}"/>
    <hyperlink ref="P24" r:id="rId22" xr:uid="{13AADABA-B90A-4F33-9F35-FB5BD0F23B17}"/>
    <hyperlink ref="P25" r:id="rId23" xr:uid="{F7EB6614-7BBE-4B72-BE37-8DFC4BE5AD37}"/>
    <hyperlink ref="P26" r:id="rId24" xr:uid="{B2436BB2-4745-4C39-B478-F139F2D12DFD}"/>
    <hyperlink ref="P27" r:id="rId25" xr:uid="{37BBD38B-952E-4EAB-AEF1-79A5B28B9CE4}"/>
    <hyperlink ref="P28" r:id="rId26" xr:uid="{D9A3DC05-016C-45CD-8F5F-CC9393FD7188}"/>
    <hyperlink ref="P29" r:id="rId27" xr:uid="{666901BC-9908-4304-9686-C28BC38CB5F2}"/>
    <hyperlink ref="P30" r:id="rId28" xr:uid="{7573D6FF-9585-4E5F-96E2-B3C181B97462}"/>
    <hyperlink ref="P31" r:id="rId29" xr:uid="{AA75559B-E001-4191-87D2-321D258C8D04}"/>
    <hyperlink ref="P35" r:id="rId30" xr:uid="{6A122AEE-0A54-417D-A5CA-2B01BDAE300D}"/>
    <hyperlink ref="P36" r:id="rId31" xr:uid="{11CE0D3F-04EE-4E3D-85A8-D05A38F65A15}"/>
    <hyperlink ref="P37" r:id="rId32" display="mailto:amanda.acker@boonedam.com" xr:uid="{41C1AFA8-D74A-4CE3-989F-54C30E010A43}"/>
  </hyperlinks>
  <pageMargins left="0.25" right="0.25" top="0.75" bottom="0.75" header="0.3" footer="0.3"/>
  <pageSetup scale="45" fitToHeight="0" orientation="landscape" horizontalDpi="4294967293" verticalDpi="4294967293" r:id="rId33"/>
  <legacyDrawing r:id="rId34"/>
  <extLst>
    <ext xmlns:x14="http://schemas.microsoft.com/office/spreadsheetml/2009/9/main" uri="{CCE6A557-97BC-4b89-ADB6-D9C93CAAB3DF}">
      <x14:dataValidations xmlns:xm="http://schemas.microsoft.com/office/excel/2006/main" count="2">
        <x14:dataValidation type="list" allowBlank="1" showInputMessage="1" showErrorMessage="1" errorTitle="Error!" error="You must choose a reason from the drop down." promptTitle="Win or Lose?" prompt="Choose a reason from the drop down." xr:uid="{69D5EBB5-CC3C-411F-812B-49E308188058}">
          <x14:formula1>
            <xm:f>Table!$A$2:$A$8</xm:f>
          </x14:formula1>
          <xm:sqref>AL1 AL3:AL1048576</xm:sqref>
        </x14:dataValidation>
        <x14:dataValidation type="list" allowBlank="1" showInputMessage="1" showErrorMessage="1" xr:uid="{3513CE25-A038-483C-8B99-ED861CC57CCC}">
          <x14:formula1>
            <xm:f>Table!$D$2:$D$13</xm:f>
          </x14:formula1>
          <xm:sqref>B1:B1048576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8AA65-553E-4D8A-B216-F5B21835C778}">
  <dimension ref="A1:F14"/>
  <sheetViews>
    <sheetView workbookViewId="0">
      <selection activeCell="B14" sqref="B14"/>
    </sheetView>
  </sheetViews>
  <sheetFormatPr defaultRowHeight="15" x14ac:dyDescent="0.25"/>
  <cols>
    <col min="1" max="1" width="14.7109375" customWidth="1"/>
    <col min="4" max="4" width="12.28515625" bestFit="1" customWidth="1"/>
    <col min="6" max="6" width="12.7109375" bestFit="1" customWidth="1"/>
  </cols>
  <sheetData>
    <row r="1" spans="1:6" x14ac:dyDescent="0.25">
      <c r="A1" t="s">
        <v>1565</v>
      </c>
      <c r="D1" t="s">
        <v>10</v>
      </c>
    </row>
    <row r="2" spans="1:6" x14ac:dyDescent="0.25">
      <c r="A2" t="s">
        <v>466</v>
      </c>
      <c r="D2" s="332" t="s">
        <v>6</v>
      </c>
      <c r="F2" t="s">
        <v>1566</v>
      </c>
    </row>
    <row r="3" spans="1:6" x14ac:dyDescent="0.25">
      <c r="A3" t="s">
        <v>436</v>
      </c>
      <c r="D3" s="332" t="s">
        <v>470</v>
      </c>
      <c r="F3" t="s">
        <v>1567</v>
      </c>
    </row>
    <row r="4" spans="1:6" x14ac:dyDescent="0.25">
      <c r="A4" t="s">
        <v>437</v>
      </c>
      <c r="D4" s="278" t="s">
        <v>362</v>
      </c>
      <c r="F4" t="s">
        <v>1568</v>
      </c>
    </row>
    <row r="5" spans="1:6" x14ac:dyDescent="0.25">
      <c r="A5" t="s">
        <v>439</v>
      </c>
      <c r="D5" s="167" t="s">
        <v>467</v>
      </c>
      <c r="F5" t="s">
        <v>483</v>
      </c>
    </row>
    <row r="6" spans="1:6" x14ac:dyDescent="0.25">
      <c r="A6" t="s">
        <v>118</v>
      </c>
      <c r="D6" s="167" t="s">
        <v>342</v>
      </c>
      <c r="F6" t="s">
        <v>434</v>
      </c>
    </row>
    <row r="7" spans="1:6" x14ac:dyDescent="0.25">
      <c r="A7" t="s">
        <v>481</v>
      </c>
      <c r="D7" s="20" t="s">
        <v>63</v>
      </c>
      <c r="F7" t="s">
        <v>506</v>
      </c>
    </row>
    <row r="8" spans="1:6" x14ac:dyDescent="0.25">
      <c r="A8" t="s">
        <v>478</v>
      </c>
      <c r="D8" s="254" t="s">
        <v>5</v>
      </c>
    </row>
    <row r="9" spans="1:6" x14ac:dyDescent="0.25">
      <c r="D9" s="333" t="s">
        <v>1</v>
      </c>
    </row>
    <row r="10" spans="1:6" x14ac:dyDescent="0.25">
      <c r="D10" s="334" t="s">
        <v>4</v>
      </c>
    </row>
    <row r="11" spans="1:6" x14ac:dyDescent="0.25">
      <c r="D11" s="335" t="s">
        <v>9</v>
      </c>
    </row>
    <row r="12" spans="1:6" x14ac:dyDescent="0.25">
      <c r="D12" s="71" t="s">
        <v>455</v>
      </c>
    </row>
    <row r="13" spans="1:6" x14ac:dyDescent="0.25">
      <c r="D13" s="341" t="s">
        <v>8</v>
      </c>
    </row>
    <row r="14" spans="1:6" x14ac:dyDescent="0.25">
      <c r="D14" s="7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3A79-BF3C-40CD-B896-722FB2740759}">
  <dimension ref="B1:B33"/>
  <sheetViews>
    <sheetView workbookViewId="0"/>
  </sheetViews>
  <sheetFormatPr defaultRowHeight="15" x14ac:dyDescent="0.25"/>
  <cols>
    <col min="1" max="1" width="20.7109375" customWidth="1"/>
    <col min="2" max="2" width="40.7109375" customWidth="1"/>
  </cols>
  <sheetData>
    <row r="1" spans="2:2" x14ac:dyDescent="0.25">
      <c r="B1" t="s">
        <v>567</v>
      </c>
    </row>
    <row r="2" spans="2:2" x14ac:dyDescent="0.25">
      <c r="B2" t="s">
        <v>568</v>
      </c>
    </row>
    <row r="3" spans="2:2" x14ac:dyDescent="0.25">
      <c r="B3" t="s">
        <v>569</v>
      </c>
    </row>
    <row r="4" spans="2:2" x14ac:dyDescent="0.25">
      <c r="B4" t="s">
        <v>570</v>
      </c>
    </row>
    <row r="5" spans="2:2" x14ac:dyDescent="0.25">
      <c r="B5" t="s">
        <v>571</v>
      </c>
    </row>
    <row r="6" spans="2:2" x14ac:dyDescent="0.25">
      <c r="B6" t="s">
        <v>572</v>
      </c>
    </row>
    <row r="7" spans="2:2" x14ac:dyDescent="0.25">
      <c r="B7" t="s">
        <v>573</v>
      </c>
    </row>
    <row r="8" spans="2:2" x14ac:dyDescent="0.25">
      <c r="B8" t="s">
        <v>574</v>
      </c>
    </row>
    <row r="9" spans="2:2" x14ac:dyDescent="0.25">
      <c r="B9" t="s">
        <v>575</v>
      </c>
    </row>
    <row r="10" spans="2:2" x14ac:dyDescent="0.25">
      <c r="B10" t="s">
        <v>576</v>
      </c>
    </row>
    <row r="11" spans="2:2" x14ac:dyDescent="0.25">
      <c r="B11" t="s">
        <v>577</v>
      </c>
    </row>
    <row r="12" spans="2:2" x14ac:dyDescent="0.25">
      <c r="B12" t="s">
        <v>577</v>
      </c>
    </row>
    <row r="13" spans="2:2" x14ac:dyDescent="0.25">
      <c r="B13" t="s">
        <v>578</v>
      </c>
    </row>
    <row r="14" spans="2:2" x14ac:dyDescent="0.25">
      <c r="B14" t="s">
        <v>579</v>
      </c>
    </row>
    <row r="15" spans="2:2" x14ac:dyDescent="0.25">
      <c r="B15" t="s">
        <v>580</v>
      </c>
    </row>
    <row r="16" spans="2:2" x14ac:dyDescent="0.25">
      <c r="B16" t="s">
        <v>581</v>
      </c>
    </row>
    <row r="17" spans="2:2" x14ac:dyDescent="0.25">
      <c r="B17" t="s">
        <v>582</v>
      </c>
    </row>
    <row r="18" spans="2:2" x14ac:dyDescent="0.25">
      <c r="B18" t="s">
        <v>583</v>
      </c>
    </row>
    <row r="19" spans="2:2" x14ac:dyDescent="0.25">
      <c r="B19" t="s">
        <v>584</v>
      </c>
    </row>
    <row r="20" spans="2:2" x14ac:dyDescent="0.25">
      <c r="B20" t="s">
        <v>585</v>
      </c>
    </row>
    <row r="21" spans="2:2" x14ac:dyDescent="0.25">
      <c r="B21" t="s">
        <v>518</v>
      </c>
    </row>
    <row r="22" spans="2:2" x14ac:dyDescent="0.25">
      <c r="B22" t="s">
        <v>586</v>
      </c>
    </row>
    <row r="24" spans="2:2" x14ac:dyDescent="0.25">
      <c r="B24" t="s">
        <v>587</v>
      </c>
    </row>
    <row r="25" spans="2:2" x14ac:dyDescent="0.25">
      <c r="B25" t="s">
        <v>588</v>
      </c>
    </row>
    <row r="26" spans="2:2" x14ac:dyDescent="0.25">
      <c r="B26" t="s">
        <v>589</v>
      </c>
    </row>
    <row r="27" spans="2:2" x14ac:dyDescent="0.25">
      <c r="B27" t="s">
        <v>590</v>
      </c>
    </row>
    <row r="28" spans="2:2" x14ac:dyDescent="0.25">
      <c r="B28" t="s">
        <v>591</v>
      </c>
    </row>
    <row r="29" spans="2:2" x14ac:dyDescent="0.25">
      <c r="B29" t="s">
        <v>592</v>
      </c>
    </row>
    <row r="30" spans="2:2" x14ac:dyDescent="0.25">
      <c r="B30" t="s">
        <v>593</v>
      </c>
    </row>
    <row r="31" spans="2:2" x14ac:dyDescent="0.25">
      <c r="B31" t="s">
        <v>594</v>
      </c>
    </row>
    <row r="32" spans="2:2" x14ac:dyDescent="0.25">
      <c r="B32" t="s">
        <v>595</v>
      </c>
    </row>
    <row r="33" spans="2:2" x14ac:dyDescent="0.25">
      <c r="B33" t="s">
        <v>596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sheetPr>
  <dimension ref="A1:Y630"/>
  <sheetViews>
    <sheetView zoomScale="115" zoomScaleNormal="115" workbookViewId="0">
      <pane ySplit="2" topLeftCell="A3" activePane="bottomLeft" state="frozen"/>
      <selection pane="bottomLeft" activeCell="F546" sqref="F546"/>
    </sheetView>
  </sheetViews>
  <sheetFormatPr defaultColWidth="9.140625" defaultRowHeight="15" x14ac:dyDescent="0.25"/>
  <cols>
    <col min="1" max="1" width="8.85546875" style="11" bestFit="1" customWidth="1"/>
    <col min="2" max="2" width="13.140625" style="12" bestFit="1" customWidth="1"/>
    <col min="3" max="3" width="13.42578125" style="12" bestFit="1" customWidth="1"/>
    <col min="4" max="5" width="9.140625" style="11"/>
    <col min="6" max="6" width="21.28515625" style="11" customWidth="1"/>
    <col min="7" max="7" width="20.28515625" style="92" customWidth="1"/>
    <col min="8" max="8" width="16" style="269" bestFit="1" customWidth="1"/>
    <col min="9" max="9" width="5.28515625" style="11" customWidth="1"/>
    <col min="10" max="10" width="28.140625" style="11" bestFit="1" customWidth="1"/>
    <col min="11" max="11" width="9.140625" style="11"/>
    <col min="12" max="12" width="5.85546875" style="11" customWidth="1"/>
    <col min="13" max="13" width="18.85546875" style="11" customWidth="1"/>
    <col min="14" max="15" width="9.140625" style="11"/>
    <col min="16" max="16" width="12.42578125" style="111" customWidth="1"/>
    <col min="17" max="17" width="9.140625" style="11"/>
    <col min="18" max="18" width="14" style="12" customWidth="1"/>
    <col min="19" max="19" width="16.5703125" style="13" bestFit="1" customWidth="1"/>
    <col min="20" max="20" width="14" style="12" customWidth="1"/>
    <col min="21" max="21" width="6.7109375" style="11" customWidth="1"/>
    <col min="22" max="23" width="9.140625" style="11"/>
    <col min="24" max="24" width="16.5703125" style="11" customWidth="1"/>
    <col min="25" max="25" width="38.42578125" style="11" bestFit="1" customWidth="1"/>
    <col min="26" max="16384" width="9.140625" style="11"/>
  </cols>
  <sheetData>
    <row r="1" spans="1:24" ht="31.5" x14ac:dyDescent="0.25">
      <c r="A1" s="345" t="s">
        <v>597</v>
      </c>
    </row>
    <row r="2" spans="1:24" s="60" customFormat="1" ht="41.25" customHeight="1" x14ac:dyDescent="0.25">
      <c r="A2" s="51" t="s">
        <v>598</v>
      </c>
      <c r="B2" s="52" t="s">
        <v>11</v>
      </c>
      <c r="C2" s="52" t="s">
        <v>16</v>
      </c>
      <c r="D2" s="53" t="s">
        <v>18</v>
      </c>
      <c r="E2" s="53" t="s">
        <v>19</v>
      </c>
      <c r="F2" s="53" t="s">
        <v>20</v>
      </c>
      <c r="G2" s="78" t="s">
        <v>21</v>
      </c>
      <c r="H2" s="54" t="s">
        <v>22</v>
      </c>
      <c r="I2" s="53" t="s">
        <v>23</v>
      </c>
      <c r="J2" s="53" t="s">
        <v>24</v>
      </c>
      <c r="K2" s="53" t="s">
        <v>25</v>
      </c>
      <c r="L2" s="53" t="s">
        <v>26</v>
      </c>
      <c r="M2" s="53" t="s">
        <v>28</v>
      </c>
      <c r="N2" s="56" t="s">
        <v>599</v>
      </c>
      <c r="O2" s="56" t="s">
        <v>35</v>
      </c>
      <c r="P2" s="105" t="s">
        <v>36</v>
      </c>
      <c r="Q2" s="57" t="s">
        <v>600</v>
      </c>
      <c r="R2" s="55" t="s">
        <v>39</v>
      </c>
      <c r="S2" s="58" t="s">
        <v>38</v>
      </c>
      <c r="T2" s="55" t="s">
        <v>601</v>
      </c>
      <c r="U2" s="59" t="s">
        <v>602</v>
      </c>
      <c r="V2" s="53" t="s">
        <v>603</v>
      </c>
      <c r="W2" s="53" t="s">
        <v>604</v>
      </c>
      <c r="X2" s="58" t="s">
        <v>44</v>
      </c>
    </row>
    <row r="3" spans="1:24" s="25" customFormat="1" x14ac:dyDescent="0.25">
      <c r="A3" s="23">
        <v>1</v>
      </c>
      <c r="B3" s="24">
        <v>44579</v>
      </c>
      <c r="C3" s="24">
        <v>44582</v>
      </c>
      <c r="D3" s="25" t="s">
        <v>137</v>
      </c>
      <c r="E3" s="25" t="s">
        <v>605</v>
      </c>
      <c r="F3" s="25" t="s">
        <v>606</v>
      </c>
      <c r="G3" s="79" t="str">
        <f t="shared" ref="G3:G66" si="0">_xlfn.IFNA(VLOOKUP(F3,TAX,2,FALSE), "NEED FORM")</f>
        <v>NEED FORM</v>
      </c>
      <c r="H3" s="14"/>
      <c r="J3" s="19" t="s">
        <v>607</v>
      </c>
      <c r="M3" s="25" t="s">
        <v>608</v>
      </c>
      <c r="N3" s="25">
        <v>1</v>
      </c>
      <c r="O3" s="25">
        <v>158.4</v>
      </c>
      <c r="P3" s="106">
        <f t="shared" ref="P3:P66" si="1">N3*O3+Q3</f>
        <v>158.4</v>
      </c>
      <c r="Q3" s="25">
        <v>0</v>
      </c>
      <c r="R3" s="24">
        <v>44725</v>
      </c>
      <c r="S3" s="26" t="s">
        <v>609</v>
      </c>
      <c r="T3" s="24">
        <v>44740</v>
      </c>
      <c r="U3" s="25">
        <v>1</v>
      </c>
    </row>
    <row r="4" spans="1:24" s="25" customFormat="1" x14ac:dyDescent="0.25">
      <c r="A4" s="23">
        <v>2</v>
      </c>
      <c r="B4" s="24">
        <v>44579</v>
      </c>
      <c r="C4" s="24">
        <v>44582</v>
      </c>
      <c r="D4" s="25" t="s">
        <v>137</v>
      </c>
      <c r="E4" s="25" t="s">
        <v>605</v>
      </c>
      <c r="F4" s="25" t="s">
        <v>606</v>
      </c>
      <c r="G4" s="79" t="str">
        <f t="shared" si="0"/>
        <v>NEED FORM</v>
      </c>
      <c r="H4" s="14"/>
      <c r="J4" s="19" t="s">
        <v>607</v>
      </c>
      <c r="M4" s="25" t="s">
        <v>610</v>
      </c>
      <c r="N4" s="25">
        <v>1</v>
      </c>
      <c r="O4" s="25">
        <v>158.4</v>
      </c>
      <c r="P4" s="106">
        <f t="shared" si="1"/>
        <v>158.4</v>
      </c>
      <c r="Q4" s="25">
        <v>0</v>
      </c>
      <c r="R4" s="24">
        <v>44725</v>
      </c>
      <c r="S4" s="26" t="s">
        <v>609</v>
      </c>
      <c r="T4" s="24">
        <v>44740</v>
      </c>
      <c r="U4" s="25">
        <v>1</v>
      </c>
    </row>
    <row r="5" spans="1:24" s="25" customFormat="1" x14ac:dyDescent="0.25">
      <c r="A5" s="23">
        <v>3</v>
      </c>
      <c r="B5" s="24">
        <v>44579</v>
      </c>
      <c r="C5" s="24">
        <v>44582</v>
      </c>
      <c r="D5" s="25" t="s">
        <v>137</v>
      </c>
      <c r="E5" s="25" t="s">
        <v>605</v>
      </c>
      <c r="F5" s="25" t="s">
        <v>606</v>
      </c>
      <c r="G5" s="79" t="str">
        <f t="shared" si="0"/>
        <v>NEED FORM</v>
      </c>
      <c r="H5" s="14"/>
      <c r="J5" s="19" t="s">
        <v>607</v>
      </c>
      <c r="M5" s="25" t="s">
        <v>611</v>
      </c>
      <c r="N5" s="25">
        <v>1</v>
      </c>
      <c r="O5" s="25">
        <v>176</v>
      </c>
      <c r="P5" s="106">
        <f t="shared" si="1"/>
        <v>176</v>
      </c>
      <c r="Q5" s="25">
        <v>0</v>
      </c>
      <c r="R5" s="24">
        <v>44725</v>
      </c>
      <c r="S5" s="26" t="s">
        <v>609</v>
      </c>
      <c r="T5" s="24">
        <v>44740</v>
      </c>
      <c r="U5" s="25">
        <v>1</v>
      </c>
    </row>
    <row r="6" spans="1:24" s="25" customFormat="1" x14ac:dyDescent="0.25">
      <c r="A6" s="23">
        <v>4</v>
      </c>
      <c r="B6" s="24">
        <v>44725</v>
      </c>
      <c r="C6" s="24">
        <v>44725</v>
      </c>
      <c r="D6" s="25" t="s">
        <v>347</v>
      </c>
      <c r="E6" s="25" t="s">
        <v>396</v>
      </c>
      <c r="F6" s="25" t="s">
        <v>423</v>
      </c>
      <c r="G6" s="79" t="str">
        <f t="shared" si="0"/>
        <v>NEED FORM</v>
      </c>
      <c r="H6" s="14">
        <v>7139474641</v>
      </c>
      <c r="J6" s="19" t="s">
        <v>612</v>
      </c>
      <c r="K6" s="25" t="s">
        <v>505</v>
      </c>
      <c r="L6" s="25" t="s">
        <v>144</v>
      </c>
      <c r="M6" s="25" t="s">
        <v>610</v>
      </c>
      <c r="N6" s="25">
        <v>23</v>
      </c>
      <c r="O6" s="25">
        <v>163.30000000000001</v>
      </c>
      <c r="P6" s="106">
        <f t="shared" si="1"/>
        <v>3755.9</v>
      </c>
      <c r="Q6" s="25">
        <v>0</v>
      </c>
      <c r="R6" s="24">
        <v>44725</v>
      </c>
      <c r="S6" s="26">
        <v>4340319</v>
      </c>
      <c r="T6" s="24">
        <v>44769</v>
      </c>
      <c r="U6" s="25">
        <v>23</v>
      </c>
    </row>
    <row r="7" spans="1:24" s="25" customFormat="1" x14ac:dyDescent="0.25">
      <c r="A7" s="23">
        <v>5</v>
      </c>
      <c r="B7" s="24">
        <v>44722</v>
      </c>
      <c r="C7" s="24">
        <v>44722</v>
      </c>
      <c r="D7" s="25" t="s">
        <v>613</v>
      </c>
      <c r="E7" s="25" t="s">
        <v>614</v>
      </c>
      <c r="F7" s="25" t="s">
        <v>615</v>
      </c>
      <c r="G7" s="79">
        <f t="shared" si="0"/>
        <v>45286</v>
      </c>
      <c r="H7" s="14"/>
      <c r="J7" s="19" t="s">
        <v>616</v>
      </c>
      <c r="M7" s="25" t="s">
        <v>610</v>
      </c>
      <c r="N7" s="25">
        <v>6</v>
      </c>
      <c r="O7" s="25">
        <v>167.18</v>
      </c>
      <c r="P7" s="106">
        <f t="shared" si="1"/>
        <v>1003.08</v>
      </c>
      <c r="Q7" s="25">
        <v>0</v>
      </c>
      <c r="R7" s="24">
        <v>44722</v>
      </c>
      <c r="S7" s="26">
        <v>3010339317</v>
      </c>
      <c r="T7" s="24">
        <v>44736</v>
      </c>
      <c r="U7" s="25">
        <v>6</v>
      </c>
    </row>
    <row r="8" spans="1:24" s="25" customFormat="1" x14ac:dyDescent="0.25">
      <c r="A8" s="23">
        <v>6</v>
      </c>
      <c r="B8" s="24">
        <v>44662</v>
      </c>
      <c r="C8" s="24">
        <v>44735</v>
      </c>
      <c r="D8" s="25" t="s">
        <v>519</v>
      </c>
      <c r="E8" s="25" t="s">
        <v>251</v>
      </c>
      <c r="F8" s="25" t="s">
        <v>617</v>
      </c>
      <c r="G8" s="79" t="str">
        <f t="shared" si="0"/>
        <v>NOT EXEMPT</v>
      </c>
      <c r="H8" s="14">
        <v>5737544501</v>
      </c>
      <c r="I8" s="25">
        <v>3011</v>
      </c>
      <c r="J8" s="19" t="s">
        <v>618</v>
      </c>
      <c r="M8" s="25" t="s">
        <v>619</v>
      </c>
      <c r="N8" s="25">
        <v>1</v>
      </c>
      <c r="O8" s="25">
        <v>300</v>
      </c>
      <c r="P8" s="106">
        <f t="shared" si="1"/>
        <v>300</v>
      </c>
      <c r="R8" s="24">
        <v>44735</v>
      </c>
      <c r="S8" s="26">
        <v>4501498782</v>
      </c>
      <c r="T8" s="24">
        <v>44743</v>
      </c>
      <c r="U8" s="25">
        <v>1</v>
      </c>
    </row>
    <row r="9" spans="1:24" s="25" customFormat="1" x14ac:dyDescent="0.25">
      <c r="A9" s="23">
        <v>7</v>
      </c>
      <c r="B9" s="24">
        <v>44672</v>
      </c>
      <c r="C9" s="24">
        <v>44733</v>
      </c>
      <c r="D9" s="25" t="s">
        <v>620</v>
      </c>
      <c r="E9" s="25" t="s">
        <v>621</v>
      </c>
      <c r="F9" s="25" t="s">
        <v>622</v>
      </c>
      <c r="G9" s="79" t="str">
        <f t="shared" si="0"/>
        <v>Malaysia</v>
      </c>
      <c r="H9" s="14"/>
      <c r="J9" s="19" t="s">
        <v>623</v>
      </c>
      <c r="L9" s="25" t="s">
        <v>624</v>
      </c>
      <c r="M9" s="25" t="s">
        <v>625</v>
      </c>
      <c r="N9" s="25">
        <v>5</v>
      </c>
      <c r="O9" s="25">
        <v>159.76</v>
      </c>
      <c r="P9" s="106">
        <f t="shared" si="1"/>
        <v>798.8</v>
      </c>
      <c r="Q9" s="25">
        <v>0</v>
      </c>
      <c r="R9" s="24">
        <v>44733</v>
      </c>
      <c r="S9" s="26">
        <v>45057814</v>
      </c>
      <c r="T9" s="24" t="s">
        <v>433</v>
      </c>
      <c r="U9" s="25">
        <v>5</v>
      </c>
    </row>
    <row r="10" spans="1:24" s="25" customFormat="1" x14ac:dyDescent="0.25">
      <c r="A10" s="23">
        <v>8</v>
      </c>
      <c r="B10" s="24">
        <v>44672</v>
      </c>
      <c r="C10" s="24">
        <v>44733</v>
      </c>
      <c r="D10" s="25" t="s">
        <v>620</v>
      </c>
      <c r="E10" s="25" t="s">
        <v>621</v>
      </c>
      <c r="F10" s="25" t="s">
        <v>622</v>
      </c>
      <c r="G10" s="79" t="str">
        <f t="shared" si="0"/>
        <v>Malaysia</v>
      </c>
      <c r="H10" s="14"/>
      <c r="J10" s="19" t="s">
        <v>623</v>
      </c>
      <c r="L10" s="25" t="s">
        <v>624</v>
      </c>
      <c r="M10" s="25" t="s">
        <v>626</v>
      </c>
      <c r="N10" s="25">
        <v>3</v>
      </c>
      <c r="O10" s="25">
        <v>163.47</v>
      </c>
      <c r="P10" s="106">
        <f t="shared" si="1"/>
        <v>490.40999999999997</v>
      </c>
      <c r="Q10" s="25">
        <v>0</v>
      </c>
      <c r="R10" s="24">
        <v>44733</v>
      </c>
      <c r="S10" s="26">
        <v>45057814</v>
      </c>
      <c r="T10" s="24" t="s">
        <v>433</v>
      </c>
      <c r="U10" s="25">
        <v>3</v>
      </c>
    </row>
    <row r="11" spans="1:24" s="25" customFormat="1" x14ac:dyDescent="0.25">
      <c r="A11" s="23">
        <v>9</v>
      </c>
      <c r="B11" s="24">
        <v>44747</v>
      </c>
      <c r="C11" s="24">
        <v>44747</v>
      </c>
      <c r="D11" s="25" t="s">
        <v>627</v>
      </c>
      <c r="E11" s="25" t="s">
        <v>414</v>
      </c>
      <c r="F11" s="25" t="s">
        <v>628</v>
      </c>
      <c r="G11" s="79">
        <f t="shared" si="0"/>
        <v>44562</v>
      </c>
      <c r="H11" s="14">
        <v>2485822379</v>
      </c>
      <c r="J11" s="19" t="s">
        <v>629</v>
      </c>
      <c r="M11" s="25" t="s">
        <v>610</v>
      </c>
      <c r="N11" s="25">
        <v>8</v>
      </c>
      <c r="O11" s="25">
        <v>171</v>
      </c>
      <c r="P11" s="106">
        <f t="shared" si="1"/>
        <v>1368</v>
      </c>
      <c r="R11" s="24">
        <v>44747</v>
      </c>
      <c r="S11" s="26">
        <v>8874619</v>
      </c>
      <c r="T11" s="24">
        <v>44761</v>
      </c>
      <c r="U11" s="25">
        <v>8</v>
      </c>
    </row>
    <row r="12" spans="1:24" s="25" customFormat="1" x14ac:dyDescent="0.25">
      <c r="A12" s="23">
        <v>10</v>
      </c>
      <c r="B12" s="24">
        <v>44749</v>
      </c>
      <c r="C12" s="24">
        <v>44749</v>
      </c>
      <c r="D12" s="25" t="s">
        <v>316</v>
      </c>
      <c r="E12" s="25" t="s">
        <v>630</v>
      </c>
      <c r="F12" s="25" t="s">
        <v>631</v>
      </c>
      <c r="G12" s="79">
        <f t="shared" si="0"/>
        <v>44927</v>
      </c>
      <c r="H12" s="14">
        <v>4323336181</v>
      </c>
      <c r="J12" s="19" t="s">
        <v>632</v>
      </c>
      <c r="K12" s="25" t="s">
        <v>633</v>
      </c>
      <c r="L12" s="25" t="s">
        <v>144</v>
      </c>
      <c r="M12" s="25" t="s">
        <v>610</v>
      </c>
      <c r="N12" s="25">
        <v>6</v>
      </c>
      <c r="O12" s="25">
        <v>167.18</v>
      </c>
      <c r="P12" s="106">
        <f t="shared" si="1"/>
        <v>1003.08</v>
      </c>
      <c r="R12" s="24">
        <v>44749</v>
      </c>
      <c r="S12" s="26">
        <v>968894</v>
      </c>
      <c r="T12" s="24">
        <v>44763</v>
      </c>
      <c r="U12" s="25">
        <v>6</v>
      </c>
    </row>
    <row r="13" spans="1:24" s="25" customFormat="1" x14ac:dyDescent="0.25">
      <c r="A13" s="23">
        <v>11</v>
      </c>
      <c r="B13" s="24">
        <v>44749</v>
      </c>
      <c r="C13" s="24">
        <v>44749</v>
      </c>
      <c r="D13" s="25" t="s">
        <v>316</v>
      </c>
      <c r="E13" s="25" t="s">
        <v>630</v>
      </c>
      <c r="F13" s="25" t="s">
        <v>631</v>
      </c>
      <c r="G13" s="79">
        <f t="shared" si="0"/>
        <v>44927</v>
      </c>
      <c r="H13" s="14">
        <v>4323336182</v>
      </c>
      <c r="J13" s="19" t="s">
        <v>632</v>
      </c>
      <c r="K13" s="25" t="s">
        <v>633</v>
      </c>
      <c r="L13" s="25" t="s">
        <v>144</v>
      </c>
      <c r="M13" s="25" t="s">
        <v>611</v>
      </c>
      <c r="N13" s="25">
        <v>14</v>
      </c>
      <c r="O13" s="25">
        <v>181.44</v>
      </c>
      <c r="P13" s="106">
        <f t="shared" si="1"/>
        <v>2540.16</v>
      </c>
      <c r="R13" s="24">
        <v>44749</v>
      </c>
      <c r="S13" s="26">
        <v>968894</v>
      </c>
      <c r="T13" s="24">
        <v>44763</v>
      </c>
      <c r="U13" s="25">
        <v>14</v>
      </c>
    </row>
    <row r="14" spans="1:24" s="25" customFormat="1" x14ac:dyDescent="0.25">
      <c r="A14" s="23">
        <v>12</v>
      </c>
      <c r="B14" s="24">
        <v>44750</v>
      </c>
      <c r="C14" s="24">
        <v>44750</v>
      </c>
      <c r="D14" s="25" t="s">
        <v>634</v>
      </c>
      <c r="E14" s="25" t="s">
        <v>635</v>
      </c>
      <c r="F14" s="25" t="s">
        <v>636</v>
      </c>
      <c r="G14" s="79" t="str">
        <f t="shared" si="0"/>
        <v>NEED FORM</v>
      </c>
      <c r="H14" s="14">
        <v>4506521800</v>
      </c>
      <c r="I14" s="25">
        <v>8839</v>
      </c>
      <c r="J14" s="19" t="s">
        <v>637</v>
      </c>
      <c r="K14" s="25" t="s">
        <v>243</v>
      </c>
      <c r="L14" s="25" t="s">
        <v>112</v>
      </c>
      <c r="M14" s="25" t="s">
        <v>611</v>
      </c>
      <c r="N14" s="25">
        <v>6</v>
      </c>
      <c r="O14" s="25">
        <v>172</v>
      </c>
      <c r="P14" s="106">
        <f t="shared" si="1"/>
        <v>1032</v>
      </c>
      <c r="R14" s="24">
        <v>44750</v>
      </c>
      <c r="S14" s="26" t="s">
        <v>638</v>
      </c>
      <c r="T14" s="24">
        <v>44764</v>
      </c>
      <c r="U14" s="25">
        <v>6</v>
      </c>
    </row>
    <row r="15" spans="1:24" s="25" customFormat="1" x14ac:dyDescent="0.25">
      <c r="A15" s="23">
        <v>13</v>
      </c>
      <c r="B15" s="24">
        <v>44750</v>
      </c>
      <c r="C15" s="24">
        <v>44750</v>
      </c>
      <c r="D15" s="25" t="s">
        <v>634</v>
      </c>
      <c r="E15" s="25" t="s">
        <v>635</v>
      </c>
      <c r="F15" s="25" t="s">
        <v>636</v>
      </c>
      <c r="G15" s="79" t="str">
        <f t="shared" si="0"/>
        <v>NEED FORM</v>
      </c>
      <c r="H15" s="14">
        <v>4506521800</v>
      </c>
      <c r="I15" s="25">
        <v>8839</v>
      </c>
      <c r="J15" s="19" t="s">
        <v>637</v>
      </c>
      <c r="K15" s="25" t="s">
        <v>243</v>
      </c>
      <c r="L15" s="25" t="s">
        <v>112</v>
      </c>
      <c r="M15" s="25" t="s">
        <v>610</v>
      </c>
      <c r="N15" s="25">
        <v>20</v>
      </c>
      <c r="O15" s="25">
        <v>151.19999999999999</v>
      </c>
      <c r="P15" s="106">
        <f t="shared" si="1"/>
        <v>3024</v>
      </c>
      <c r="R15" s="24">
        <v>44750</v>
      </c>
      <c r="S15" s="26" t="s">
        <v>638</v>
      </c>
      <c r="T15" s="24">
        <v>44764</v>
      </c>
      <c r="U15" s="25">
        <v>20</v>
      </c>
    </row>
    <row r="16" spans="1:24" s="25" customFormat="1" x14ac:dyDescent="0.25">
      <c r="A16" s="23">
        <v>14</v>
      </c>
      <c r="B16" s="24">
        <v>44750</v>
      </c>
      <c r="C16" s="24">
        <v>44750</v>
      </c>
      <c r="D16" s="25" t="s">
        <v>634</v>
      </c>
      <c r="E16" s="25" t="s">
        <v>635</v>
      </c>
      <c r="F16" s="25" t="s">
        <v>636</v>
      </c>
      <c r="G16" s="79" t="str">
        <f t="shared" si="0"/>
        <v>NEED FORM</v>
      </c>
      <c r="H16" s="14">
        <v>4506521800</v>
      </c>
      <c r="I16" s="25">
        <v>8839</v>
      </c>
      <c r="J16" s="19" t="s">
        <v>637</v>
      </c>
      <c r="K16" s="25" t="s">
        <v>243</v>
      </c>
      <c r="L16" s="25" t="s">
        <v>112</v>
      </c>
      <c r="M16" s="25" t="s">
        <v>608</v>
      </c>
      <c r="N16" s="25">
        <v>6</v>
      </c>
      <c r="O16" s="25">
        <v>154.80000000000001</v>
      </c>
      <c r="P16" s="106">
        <f t="shared" si="1"/>
        <v>928.80000000000007</v>
      </c>
      <c r="R16" s="24">
        <v>44750</v>
      </c>
      <c r="S16" s="26" t="s">
        <v>638</v>
      </c>
      <c r="T16" s="24">
        <v>44764</v>
      </c>
      <c r="U16" s="25">
        <v>6</v>
      </c>
    </row>
    <row r="17" spans="1:25" s="25" customFormat="1" x14ac:dyDescent="0.25">
      <c r="A17" s="23">
        <v>15</v>
      </c>
      <c r="B17" s="24">
        <v>44750</v>
      </c>
      <c r="C17" s="24">
        <v>44750</v>
      </c>
      <c r="D17" s="25" t="s">
        <v>634</v>
      </c>
      <c r="E17" s="25" t="s">
        <v>635</v>
      </c>
      <c r="F17" s="25" t="s">
        <v>636</v>
      </c>
      <c r="G17" s="79" t="str">
        <f t="shared" si="0"/>
        <v>NEED FORM</v>
      </c>
      <c r="H17" s="14">
        <v>4506521800</v>
      </c>
      <c r="I17" s="25">
        <v>8839</v>
      </c>
      <c r="J17" s="19" t="s">
        <v>637</v>
      </c>
      <c r="K17" s="25" t="s">
        <v>243</v>
      </c>
      <c r="L17" s="25" t="s">
        <v>112</v>
      </c>
      <c r="M17" s="25" t="s">
        <v>639</v>
      </c>
      <c r="N17" s="25">
        <v>6</v>
      </c>
      <c r="O17" s="25">
        <v>154.80000000000001</v>
      </c>
      <c r="P17" s="106">
        <f t="shared" si="1"/>
        <v>928.80000000000007</v>
      </c>
      <c r="R17" s="24">
        <v>44750</v>
      </c>
      <c r="S17" s="26" t="s">
        <v>638</v>
      </c>
      <c r="T17" s="24">
        <v>44764</v>
      </c>
      <c r="U17" s="25">
        <v>6</v>
      </c>
    </row>
    <row r="18" spans="1:25" s="25" customFormat="1" x14ac:dyDescent="0.25">
      <c r="A18" s="23">
        <v>16</v>
      </c>
      <c r="B18" s="24">
        <v>44753</v>
      </c>
      <c r="C18" s="24">
        <v>44753</v>
      </c>
      <c r="D18" s="25" t="s">
        <v>303</v>
      </c>
      <c r="E18" s="25" t="s">
        <v>640</v>
      </c>
      <c r="F18" s="25" t="s">
        <v>641</v>
      </c>
      <c r="G18" s="79">
        <f t="shared" si="0"/>
        <v>45359</v>
      </c>
      <c r="H18" s="14">
        <v>3618822564</v>
      </c>
      <c r="J18" s="19" t="s">
        <v>642</v>
      </c>
      <c r="K18" s="25" t="s">
        <v>643</v>
      </c>
      <c r="L18" s="25" t="s">
        <v>144</v>
      </c>
      <c r="M18" s="25" t="s">
        <v>610</v>
      </c>
      <c r="N18" s="25">
        <v>4</v>
      </c>
      <c r="O18" s="25">
        <v>171.07</v>
      </c>
      <c r="P18" s="106">
        <f t="shared" si="1"/>
        <v>684.28</v>
      </c>
      <c r="R18" s="24">
        <v>44753</v>
      </c>
      <c r="S18" s="26" t="s">
        <v>644</v>
      </c>
      <c r="T18" s="24">
        <v>44767</v>
      </c>
      <c r="U18" s="25">
        <v>4</v>
      </c>
    </row>
    <row r="19" spans="1:25" s="25" customFormat="1" x14ac:dyDescent="0.25">
      <c r="A19" s="23">
        <v>17</v>
      </c>
      <c r="B19" s="24">
        <v>44753</v>
      </c>
      <c r="C19" s="24">
        <v>44753</v>
      </c>
      <c r="D19" s="25" t="s">
        <v>303</v>
      </c>
      <c r="E19" s="25" t="s">
        <v>640</v>
      </c>
      <c r="F19" s="25" t="s">
        <v>641</v>
      </c>
      <c r="G19" s="79">
        <f t="shared" si="0"/>
        <v>45359</v>
      </c>
      <c r="H19" s="14">
        <v>3618822565</v>
      </c>
      <c r="J19" s="19" t="s">
        <v>642</v>
      </c>
      <c r="K19" s="25" t="s">
        <v>643</v>
      </c>
      <c r="L19" s="25" t="s">
        <v>144</v>
      </c>
      <c r="M19" s="25" t="s">
        <v>611</v>
      </c>
      <c r="N19" s="25">
        <v>4</v>
      </c>
      <c r="O19" s="25">
        <v>190.08</v>
      </c>
      <c r="P19" s="106">
        <f t="shared" si="1"/>
        <v>760.32</v>
      </c>
      <c r="R19" s="24">
        <v>44753</v>
      </c>
      <c r="S19" s="26" t="s">
        <v>645</v>
      </c>
      <c r="T19" s="24">
        <v>44767</v>
      </c>
      <c r="U19" s="25">
        <v>4</v>
      </c>
    </row>
    <row r="20" spans="1:25" s="25" customFormat="1" x14ac:dyDescent="0.25">
      <c r="A20" s="23">
        <v>18</v>
      </c>
      <c r="B20" s="24">
        <v>44754</v>
      </c>
      <c r="C20" s="24">
        <v>44754</v>
      </c>
      <c r="D20" s="25" t="s">
        <v>426</v>
      </c>
      <c r="E20" s="25" t="s">
        <v>646</v>
      </c>
      <c r="F20" s="25" t="s">
        <v>647</v>
      </c>
      <c r="G20" s="79" t="str">
        <f t="shared" si="0"/>
        <v>NEED FORM</v>
      </c>
      <c r="H20" s="14">
        <v>2259606273</v>
      </c>
      <c r="J20" s="19" t="s">
        <v>648</v>
      </c>
      <c r="K20" s="25" t="s">
        <v>649</v>
      </c>
      <c r="L20" s="25" t="s">
        <v>650</v>
      </c>
      <c r="M20" s="25" t="s">
        <v>610</v>
      </c>
      <c r="N20" s="25">
        <v>4</v>
      </c>
      <c r="O20" s="25">
        <v>171.07</v>
      </c>
      <c r="P20" s="106">
        <f t="shared" si="1"/>
        <v>684.28</v>
      </c>
      <c r="R20" s="24">
        <v>44754</v>
      </c>
      <c r="S20" s="26" t="s">
        <v>651</v>
      </c>
      <c r="T20" s="24">
        <v>44768</v>
      </c>
      <c r="U20" s="25">
        <v>4</v>
      </c>
    </row>
    <row r="21" spans="1:25" s="25" customFormat="1" x14ac:dyDescent="0.25">
      <c r="A21" s="23">
        <v>19</v>
      </c>
      <c r="B21" s="24">
        <v>44757</v>
      </c>
      <c r="C21" s="24">
        <v>44757</v>
      </c>
      <c r="F21" s="25" t="s">
        <v>628</v>
      </c>
      <c r="G21" s="79">
        <f t="shared" si="0"/>
        <v>44562</v>
      </c>
      <c r="H21" s="14">
        <v>2485822379</v>
      </c>
      <c r="J21" s="19" t="s">
        <v>629</v>
      </c>
      <c r="M21" s="25" t="s">
        <v>610</v>
      </c>
      <c r="N21" s="25">
        <v>130</v>
      </c>
      <c r="O21" s="25">
        <v>146.38</v>
      </c>
      <c r="P21" s="106">
        <f t="shared" si="1"/>
        <v>19029.399999999998</v>
      </c>
      <c r="R21" s="24">
        <v>44747</v>
      </c>
      <c r="S21" s="26">
        <v>8883728</v>
      </c>
      <c r="T21" s="24">
        <v>44778</v>
      </c>
      <c r="U21" s="25">
        <v>130</v>
      </c>
    </row>
    <row r="22" spans="1:25" s="25" customFormat="1" ht="15" customHeight="1" x14ac:dyDescent="0.25">
      <c r="A22" s="23">
        <v>20</v>
      </c>
      <c r="B22" s="24">
        <v>44767</v>
      </c>
      <c r="C22" s="24">
        <v>44750</v>
      </c>
      <c r="D22" s="25" t="s">
        <v>634</v>
      </c>
      <c r="E22" s="25" t="s">
        <v>635</v>
      </c>
      <c r="F22" s="25" t="s">
        <v>652</v>
      </c>
      <c r="G22" s="79" t="str">
        <f t="shared" si="0"/>
        <v>CANADA</v>
      </c>
      <c r="H22" s="14">
        <v>7043762800</v>
      </c>
      <c r="J22" s="19" t="s">
        <v>637</v>
      </c>
      <c r="K22" s="27" t="s">
        <v>653</v>
      </c>
      <c r="L22" s="25" t="s">
        <v>440</v>
      </c>
      <c r="M22" s="25" t="s">
        <v>610</v>
      </c>
      <c r="N22" s="25">
        <v>20</v>
      </c>
      <c r="O22" s="25">
        <v>163.30000000000001</v>
      </c>
      <c r="P22" s="106">
        <f t="shared" si="1"/>
        <v>3266</v>
      </c>
      <c r="R22" s="24">
        <v>44774</v>
      </c>
      <c r="S22" s="26" t="s">
        <v>654</v>
      </c>
      <c r="T22" s="24">
        <v>44802</v>
      </c>
      <c r="U22" s="25">
        <v>20</v>
      </c>
    </row>
    <row r="23" spans="1:25" s="25" customFormat="1" x14ac:dyDescent="0.25">
      <c r="A23" s="23">
        <v>21</v>
      </c>
      <c r="B23" s="24">
        <v>44774</v>
      </c>
      <c r="C23" s="24">
        <v>44774</v>
      </c>
      <c r="D23" s="25" t="s">
        <v>655</v>
      </c>
      <c r="E23" s="25" t="s">
        <v>656</v>
      </c>
      <c r="F23" s="25" t="s">
        <v>628</v>
      </c>
      <c r="G23" s="79">
        <f t="shared" si="0"/>
        <v>44562</v>
      </c>
      <c r="H23" s="14">
        <v>7139345331</v>
      </c>
      <c r="J23" s="19" t="s">
        <v>657</v>
      </c>
      <c r="K23" s="25" t="s">
        <v>505</v>
      </c>
      <c r="L23" s="25" t="s">
        <v>144</v>
      </c>
      <c r="M23" s="25" t="s">
        <v>610</v>
      </c>
      <c r="N23" s="25">
        <v>7</v>
      </c>
      <c r="O23" s="25">
        <v>171.07</v>
      </c>
      <c r="P23" s="106">
        <f t="shared" si="1"/>
        <v>1197.49</v>
      </c>
      <c r="R23" s="24">
        <v>44774</v>
      </c>
      <c r="S23" s="26">
        <v>8911769</v>
      </c>
      <c r="T23" s="24">
        <v>44812</v>
      </c>
      <c r="U23" s="25">
        <v>7</v>
      </c>
    </row>
    <row r="24" spans="1:25" s="30" customFormat="1" x14ac:dyDescent="0.25">
      <c r="A24" s="28">
        <v>22</v>
      </c>
      <c r="B24" s="29">
        <v>44774</v>
      </c>
      <c r="C24" s="29">
        <v>44774</v>
      </c>
      <c r="D24" s="30" t="s">
        <v>655</v>
      </c>
      <c r="E24" s="30" t="s">
        <v>656</v>
      </c>
      <c r="F24" s="30" t="s">
        <v>628</v>
      </c>
      <c r="G24" s="80">
        <f t="shared" si="0"/>
        <v>44562</v>
      </c>
      <c r="H24" s="15">
        <v>7139345331</v>
      </c>
      <c r="J24" s="21" t="s">
        <v>657</v>
      </c>
      <c r="K24" s="30" t="s">
        <v>505</v>
      </c>
      <c r="L24" s="30" t="s">
        <v>144</v>
      </c>
      <c r="M24" s="30" t="s">
        <v>611</v>
      </c>
      <c r="N24" s="30">
        <v>1</v>
      </c>
      <c r="O24" s="30">
        <v>243</v>
      </c>
      <c r="P24" s="107">
        <f t="shared" si="1"/>
        <v>243</v>
      </c>
      <c r="R24" s="29"/>
      <c r="S24" s="31"/>
      <c r="T24" s="29"/>
    </row>
    <row r="25" spans="1:25" s="25" customFormat="1" ht="30" x14ac:dyDescent="0.25">
      <c r="A25" s="23">
        <v>23</v>
      </c>
      <c r="B25" s="24">
        <v>44782</v>
      </c>
      <c r="C25" s="24">
        <v>44782</v>
      </c>
      <c r="D25" s="25" t="s">
        <v>508</v>
      </c>
      <c r="E25" s="25" t="s">
        <v>658</v>
      </c>
      <c r="F25" s="27" t="s">
        <v>659</v>
      </c>
      <c r="G25" s="81">
        <f t="shared" si="0"/>
        <v>45637</v>
      </c>
      <c r="H25" s="14">
        <v>8458965973</v>
      </c>
      <c r="J25" s="19" t="s">
        <v>660</v>
      </c>
      <c r="M25" s="25" t="s">
        <v>661</v>
      </c>
      <c r="N25" s="25">
        <v>45</v>
      </c>
      <c r="O25" s="25">
        <v>109.14</v>
      </c>
      <c r="P25" s="106">
        <f t="shared" si="1"/>
        <v>4911.3</v>
      </c>
      <c r="R25" s="24">
        <v>44782</v>
      </c>
      <c r="S25" s="26">
        <v>1256</v>
      </c>
      <c r="T25" s="24">
        <v>44806</v>
      </c>
      <c r="U25" s="25">
        <v>45</v>
      </c>
    </row>
    <row r="26" spans="1:25" s="25" customFormat="1" ht="30" x14ac:dyDescent="0.25">
      <c r="A26" s="23">
        <v>24</v>
      </c>
      <c r="B26" s="24">
        <v>44782</v>
      </c>
      <c r="C26" s="24">
        <v>44782</v>
      </c>
      <c r="D26" s="25" t="s">
        <v>508</v>
      </c>
      <c r="E26" s="25" t="s">
        <v>658</v>
      </c>
      <c r="F26" s="27" t="s">
        <v>659</v>
      </c>
      <c r="G26" s="81">
        <f t="shared" si="0"/>
        <v>45637</v>
      </c>
      <c r="H26" s="14">
        <v>8458965973</v>
      </c>
      <c r="J26" s="19" t="s">
        <v>660</v>
      </c>
      <c r="M26" s="25" t="s">
        <v>610</v>
      </c>
      <c r="N26" s="25">
        <v>40</v>
      </c>
      <c r="O26" s="25">
        <v>157.93</v>
      </c>
      <c r="P26" s="106">
        <f t="shared" si="1"/>
        <v>6317.2000000000007</v>
      </c>
      <c r="R26" s="24">
        <v>44782</v>
      </c>
      <c r="S26" s="26">
        <v>1256</v>
      </c>
      <c r="T26" s="24">
        <v>44806</v>
      </c>
      <c r="U26" s="25">
        <v>40</v>
      </c>
    </row>
    <row r="27" spans="1:25" s="25" customFormat="1" ht="30" x14ac:dyDescent="0.25">
      <c r="A27" s="23">
        <v>25</v>
      </c>
      <c r="B27" s="24">
        <v>44782</v>
      </c>
      <c r="C27" s="24">
        <v>44782</v>
      </c>
      <c r="D27" s="25" t="s">
        <v>508</v>
      </c>
      <c r="E27" s="25" t="s">
        <v>658</v>
      </c>
      <c r="F27" s="27" t="s">
        <v>659</v>
      </c>
      <c r="G27" s="81">
        <f t="shared" si="0"/>
        <v>45637</v>
      </c>
      <c r="H27" s="14">
        <v>8458965973</v>
      </c>
      <c r="J27" s="19" t="s">
        <v>660</v>
      </c>
      <c r="M27" s="25" t="s">
        <v>611</v>
      </c>
      <c r="N27" s="25">
        <v>4</v>
      </c>
      <c r="O27" s="25">
        <v>190.08</v>
      </c>
      <c r="P27" s="106">
        <f t="shared" si="1"/>
        <v>760.32</v>
      </c>
      <c r="R27" s="24">
        <v>44782</v>
      </c>
      <c r="S27" s="26">
        <v>1256</v>
      </c>
      <c r="T27" s="24">
        <v>44806</v>
      </c>
      <c r="U27" s="25">
        <v>4</v>
      </c>
    </row>
    <row r="28" spans="1:25" s="30" customFormat="1" ht="30" x14ac:dyDescent="0.25">
      <c r="A28" s="28">
        <v>26</v>
      </c>
      <c r="B28" s="29">
        <v>44782</v>
      </c>
      <c r="C28" s="29">
        <v>44782</v>
      </c>
      <c r="D28" s="30" t="s">
        <v>508</v>
      </c>
      <c r="E28" s="30" t="s">
        <v>658</v>
      </c>
      <c r="F28" s="112" t="s">
        <v>659</v>
      </c>
      <c r="G28" s="82">
        <f t="shared" si="0"/>
        <v>45637</v>
      </c>
      <c r="H28" s="15">
        <v>8458965973</v>
      </c>
      <c r="J28" s="21" t="s">
        <v>660</v>
      </c>
      <c r="M28" s="30" t="s">
        <v>611</v>
      </c>
      <c r="N28" s="30">
        <v>40</v>
      </c>
      <c r="O28" s="30">
        <v>175.48</v>
      </c>
      <c r="P28" s="107">
        <f t="shared" si="1"/>
        <v>7019.2</v>
      </c>
      <c r="R28" s="29"/>
      <c r="S28" s="31"/>
      <c r="T28" s="29"/>
    </row>
    <row r="29" spans="1:25" s="30" customFormat="1" x14ac:dyDescent="0.25">
      <c r="A29" s="28">
        <v>27</v>
      </c>
      <c r="B29" s="29">
        <v>44784</v>
      </c>
      <c r="C29" s="29">
        <v>44784</v>
      </c>
      <c r="D29" s="30" t="s">
        <v>662</v>
      </c>
      <c r="E29" s="30" t="s">
        <v>663</v>
      </c>
      <c r="F29" s="30" t="s">
        <v>664</v>
      </c>
      <c r="G29" s="80" t="str">
        <f t="shared" si="0"/>
        <v>NEED FORM</v>
      </c>
      <c r="H29" s="15">
        <v>5757482075</v>
      </c>
      <c r="J29" s="21" t="s">
        <v>665</v>
      </c>
      <c r="M29" s="30" t="s">
        <v>610</v>
      </c>
      <c r="N29" s="30">
        <v>22</v>
      </c>
      <c r="O29" s="30">
        <v>163.30000000000001</v>
      </c>
      <c r="P29" s="107">
        <f t="shared" si="1"/>
        <v>3592.6000000000004</v>
      </c>
      <c r="R29" s="29"/>
      <c r="S29" s="31"/>
      <c r="T29" s="29"/>
    </row>
    <row r="30" spans="1:25" s="25" customFormat="1" x14ac:dyDescent="0.25">
      <c r="A30" s="23">
        <v>28</v>
      </c>
      <c r="B30" s="24">
        <v>44792</v>
      </c>
      <c r="C30" s="24">
        <v>44792</v>
      </c>
      <c r="D30" s="25" t="s">
        <v>666</v>
      </c>
      <c r="E30" s="25" t="s">
        <v>484</v>
      </c>
      <c r="F30" s="25" t="s">
        <v>667</v>
      </c>
      <c r="G30" s="79">
        <f t="shared" si="0"/>
        <v>45310</v>
      </c>
      <c r="H30" s="14">
        <v>4092423351</v>
      </c>
      <c r="J30" s="19" t="s">
        <v>668</v>
      </c>
      <c r="K30" s="25" t="s">
        <v>669</v>
      </c>
      <c r="L30" s="25" t="s">
        <v>144</v>
      </c>
      <c r="M30" s="25" t="s">
        <v>608</v>
      </c>
      <c r="N30" s="25">
        <v>2</v>
      </c>
      <c r="O30" s="25">
        <v>176.36</v>
      </c>
      <c r="P30" s="106">
        <f t="shared" si="1"/>
        <v>352.75</v>
      </c>
      <c r="Q30" s="32">
        <v>0.03</v>
      </c>
      <c r="R30" s="24">
        <v>44792</v>
      </c>
      <c r="S30" s="26" t="s">
        <v>670</v>
      </c>
      <c r="T30" s="24">
        <v>44820</v>
      </c>
      <c r="U30" s="25">
        <v>2</v>
      </c>
      <c r="Y30" s="25" t="s">
        <v>671</v>
      </c>
    </row>
    <row r="31" spans="1:25" s="25" customFormat="1" x14ac:dyDescent="0.25">
      <c r="A31" s="23">
        <v>29</v>
      </c>
      <c r="B31" s="24">
        <v>44792</v>
      </c>
      <c r="C31" s="24">
        <v>44792</v>
      </c>
      <c r="D31" s="25" t="s">
        <v>248</v>
      </c>
      <c r="E31" s="25" t="s">
        <v>672</v>
      </c>
      <c r="F31" s="18" t="s">
        <v>673</v>
      </c>
      <c r="G31" s="83">
        <f t="shared" si="0"/>
        <v>45294</v>
      </c>
      <c r="H31" s="14">
        <v>4333320591</v>
      </c>
      <c r="J31" s="19" t="s">
        <v>674</v>
      </c>
      <c r="K31" s="25" t="s">
        <v>675</v>
      </c>
      <c r="L31" s="25" t="s">
        <v>676</v>
      </c>
      <c r="M31" s="25" t="s">
        <v>610</v>
      </c>
      <c r="N31" s="25">
        <v>200</v>
      </c>
      <c r="O31" s="25">
        <v>147.13</v>
      </c>
      <c r="P31" s="106">
        <f t="shared" si="1"/>
        <v>29426</v>
      </c>
      <c r="R31" s="24">
        <v>44792</v>
      </c>
      <c r="S31" s="26">
        <v>5201081658</v>
      </c>
      <c r="T31" s="24">
        <v>44830</v>
      </c>
      <c r="U31" s="25">
        <v>200</v>
      </c>
      <c r="X31" s="25" t="s">
        <v>677</v>
      </c>
      <c r="Y31" s="25" t="s">
        <v>678</v>
      </c>
    </row>
    <row r="32" spans="1:25" s="25" customFormat="1" x14ac:dyDescent="0.25">
      <c r="A32" s="23">
        <v>30</v>
      </c>
      <c r="B32" s="24">
        <v>44792</v>
      </c>
      <c r="C32" s="24">
        <v>44792</v>
      </c>
      <c r="D32" s="25" t="s">
        <v>316</v>
      </c>
      <c r="E32" s="25" t="s">
        <v>630</v>
      </c>
      <c r="F32" s="25" t="s">
        <v>631</v>
      </c>
      <c r="G32" s="79">
        <f t="shared" si="0"/>
        <v>44927</v>
      </c>
      <c r="H32" s="14">
        <v>4323336181</v>
      </c>
      <c r="J32" s="19" t="s">
        <v>632</v>
      </c>
      <c r="K32" s="25" t="s">
        <v>633</v>
      </c>
      <c r="L32" s="25" t="s">
        <v>144</v>
      </c>
      <c r="M32" s="25" t="s">
        <v>611</v>
      </c>
      <c r="N32" s="25">
        <v>25</v>
      </c>
      <c r="O32" s="25">
        <v>181.44</v>
      </c>
      <c r="P32" s="106">
        <f t="shared" si="1"/>
        <v>4536</v>
      </c>
      <c r="R32" s="24">
        <v>44792</v>
      </c>
      <c r="S32" s="26" t="s">
        <v>679</v>
      </c>
      <c r="T32" s="24">
        <v>44820</v>
      </c>
      <c r="U32" s="25">
        <v>25</v>
      </c>
    </row>
    <row r="33" spans="1:25" s="25" customFormat="1" x14ac:dyDescent="0.25">
      <c r="A33" s="23">
        <v>31</v>
      </c>
      <c r="B33" s="24">
        <v>44796</v>
      </c>
      <c r="C33" s="24">
        <v>44796</v>
      </c>
      <c r="D33" s="25" t="s">
        <v>234</v>
      </c>
      <c r="E33" s="25" t="s">
        <v>680</v>
      </c>
      <c r="F33" s="25" t="s">
        <v>361</v>
      </c>
      <c r="G33" s="79">
        <f t="shared" si="0"/>
        <v>45336</v>
      </c>
      <c r="H33" s="14">
        <v>5022912906</v>
      </c>
      <c r="J33" s="25" t="s">
        <v>681</v>
      </c>
      <c r="M33" s="25" t="s">
        <v>639</v>
      </c>
      <c r="N33" s="25">
        <v>2</v>
      </c>
      <c r="O33" s="25">
        <v>171.07</v>
      </c>
      <c r="P33" s="106">
        <f t="shared" si="1"/>
        <v>342.14</v>
      </c>
      <c r="R33" s="24">
        <v>45139</v>
      </c>
      <c r="S33" s="26" t="s">
        <v>682</v>
      </c>
      <c r="T33" s="24">
        <v>44798</v>
      </c>
      <c r="U33" s="25">
        <v>2</v>
      </c>
      <c r="V33" s="25" t="s">
        <v>683</v>
      </c>
      <c r="Y33" s="25" t="s">
        <v>684</v>
      </c>
    </row>
    <row r="34" spans="1:25" s="25" customFormat="1" x14ac:dyDescent="0.25">
      <c r="A34" s="23">
        <v>32</v>
      </c>
      <c r="B34" s="24">
        <v>44792</v>
      </c>
      <c r="C34" s="24">
        <v>44799</v>
      </c>
      <c r="D34" s="25" t="s">
        <v>666</v>
      </c>
      <c r="E34" s="25" t="s">
        <v>484</v>
      </c>
      <c r="F34" s="25" t="s">
        <v>667</v>
      </c>
      <c r="G34" s="79">
        <f t="shared" si="0"/>
        <v>45310</v>
      </c>
      <c r="H34" s="14">
        <v>4092423351</v>
      </c>
      <c r="J34" s="19" t="s">
        <v>668</v>
      </c>
      <c r="K34" s="25" t="s">
        <v>669</v>
      </c>
      <c r="L34" s="25" t="s">
        <v>144</v>
      </c>
      <c r="M34" s="25" t="s">
        <v>610</v>
      </c>
      <c r="N34" s="25">
        <v>2</v>
      </c>
      <c r="O34" s="25">
        <v>176.36</v>
      </c>
      <c r="P34" s="106">
        <f t="shared" si="1"/>
        <v>352.75</v>
      </c>
      <c r="Q34" s="32">
        <v>0.03</v>
      </c>
      <c r="R34" s="24">
        <v>44799</v>
      </c>
      <c r="S34" s="26" t="s">
        <v>670</v>
      </c>
      <c r="T34" s="24">
        <v>44823</v>
      </c>
      <c r="U34" s="25">
        <v>2</v>
      </c>
      <c r="Y34" s="25" t="s">
        <v>671</v>
      </c>
    </row>
    <row r="35" spans="1:25" s="25" customFormat="1" x14ac:dyDescent="0.25">
      <c r="A35" s="23">
        <v>33</v>
      </c>
      <c r="B35" s="24">
        <v>44802</v>
      </c>
      <c r="C35" s="24">
        <v>44802</v>
      </c>
      <c r="D35" s="25" t="s">
        <v>627</v>
      </c>
      <c r="E35" s="25" t="s">
        <v>414</v>
      </c>
      <c r="F35" s="25" t="s">
        <v>628</v>
      </c>
      <c r="G35" s="79">
        <f t="shared" si="0"/>
        <v>44562</v>
      </c>
      <c r="H35" s="14">
        <v>2485822379</v>
      </c>
      <c r="J35" s="19" t="s">
        <v>629</v>
      </c>
      <c r="K35" s="25" t="s">
        <v>633</v>
      </c>
      <c r="L35" s="25" t="s">
        <v>144</v>
      </c>
      <c r="M35" s="25" t="s">
        <v>610</v>
      </c>
      <c r="N35" s="25">
        <v>4</v>
      </c>
      <c r="O35" s="25">
        <v>171.07</v>
      </c>
      <c r="P35" s="106">
        <f t="shared" si="1"/>
        <v>684.28</v>
      </c>
      <c r="R35" s="24">
        <v>44802</v>
      </c>
      <c r="S35" s="26">
        <v>8931297</v>
      </c>
      <c r="T35" s="24">
        <v>44812</v>
      </c>
      <c r="U35" s="25">
        <v>4</v>
      </c>
    </row>
    <row r="36" spans="1:25" s="30" customFormat="1" x14ac:dyDescent="0.25">
      <c r="A36" s="28">
        <v>34</v>
      </c>
      <c r="B36" s="29">
        <v>44810</v>
      </c>
      <c r="C36" s="29">
        <v>44810</v>
      </c>
      <c r="D36" s="30" t="s">
        <v>131</v>
      </c>
      <c r="E36" s="30" t="s">
        <v>685</v>
      </c>
      <c r="F36" s="30" t="s">
        <v>686</v>
      </c>
      <c r="G36" s="80" t="str">
        <f t="shared" si="0"/>
        <v>NEED FORM</v>
      </c>
      <c r="H36" s="15">
        <v>7325840318</v>
      </c>
      <c r="J36" s="21" t="s">
        <v>687</v>
      </c>
      <c r="K36" s="30" t="s">
        <v>218</v>
      </c>
      <c r="L36" s="30" t="s">
        <v>96</v>
      </c>
      <c r="M36" s="30" t="s">
        <v>688</v>
      </c>
      <c r="P36" s="107">
        <f t="shared" si="1"/>
        <v>0</v>
      </c>
      <c r="R36" s="29"/>
      <c r="S36" s="31"/>
      <c r="T36" s="29"/>
    </row>
    <row r="37" spans="1:25" s="25" customFormat="1" x14ac:dyDescent="0.25">
      <c r="A37" s="23">
        <v>35</v>
      </c>
      <c r="B37" s="24">
        <v>44813</v>
      </c>
      <c r="C37" s="24">
        <v>44813</v>
      </c>
      <c r="D37" s="25" t="s">
        <v>187</v>
      </c>
      <c r="E37" s="25" t="s">
        <v>689</v>
      </c>
      <c r="F37" s="25" t="s">
        <v>690</v>
      </c>
      <c r="G37" s="79" t="str">
        <f t="shared" si="0"/>
        <v>NEED FORM</v>
      </c>
      <c r="H37" s="14"/>
      <c r="J37" s="19" t="s">
        <v>691</v>
      </c>
      <c r="M37" s="25" t="s">
        <v>610</v>
      </c>
      <c r="N37" s="25">
        <v>5</v>
      </c>
      <c r="O37" s="25">
        <v>167.18</v>
      </c>
      <c r="P37" s="106">
        <f t="shared" si="1"/>
        <v>835.90000000000009</v>
      </c>
      <c r="R37" s="24">
        <v>44813</v>
      </c>
      <c r="S37" s="26"/>
      <c r="T37" s="24"/>
      <c r="U37" s="25">
        <v>5</v>
      </c>
    </row>
    <row r="38" spans="1:25" s="25" customFormat="1" x14ac:dyDescent="0.25">
      <c r="A38" s="23">
        <v>36</v>
      </c>
      <c r="B38" s="24">
        <v>44813</v>
      </c>
      <c r="C38" s="24">
        <v>44813</v>
      </c>
      <c r="D38" s="25" t="s">
        <v>187</v>
      </c>
      <c r="E38" s="25" t="s">
        <v>689</v>
      </c>
      <c r="F38" s="25" t="s">
        <v>690</v>
      </c>
      <c r="G38" s="79" t="str">
        <f t="shared" si="0"/>
        <v>NEED FORM</v>
      </c>
      <c r="H38" s="14"/>
      <c r="J38" s="25" t="s">
        <v>691</v>
      </c>
      <c r="M38" s="25" t="s">
        <v>611</v>
      </c>
      <c r="N38" s="25">
        <v>5</v>
      </c>
      <c r="O38" s="25">
        <v>185.76</v>
      </c>
      <c r="P38" s="106">
        <f t="shared" si="1"/>
        <v>928.8</v>
      </c>
      <c r="R38" s="24">
        <v>44813</v>
      </c>
      <c r="S38" s="26"/>
      <c r="T38" s="24"/>
      <c r="U38" s="25">
        <v>5</v>
      </c>
    </row>
    <row r="39" spans="1:25" s="25" customFormat="1" x14ac:dyDescent="0.25">
      <c r="A39" s="23">
        <v>37</v>
      </c>
      <c r="B39" s="24">
        <v>44802</v>
      </c>
      <c r="C39" s="24">
        <v>44802</v>
      </c>
      <c r="D39" s="25" t="s">
        <v>627</v>
      </c>
      <c r="E39" s="25" t="s">
        <v>414</v>
      </c>
      <c r="F39" s="25" t="s">
        <v>628</v>
      </c>
      <c r="G39" s="79">
        <f t="shared" si="0"/>
        <v>44562</v>
      </c>
      <c r="H39" s="14">
        <v>2485822379</v>
      </c>
      <c r="J39" s="19" t="s">
        <v>629</v>
      </c>
      <c r="K39" s="25" t="s">
        <v>633</v>
      </c>
      <c r="L39" s="25" t="s">
        <v>144</v>
      </c>
      <c r="M39" s="25" t="s">
        <v>610</v>
      </c>
      <c r="N39" s="25">
        <v>3</v>
      </c>
      <c r="O39" s="25">
        <v>171.07</v>
      </c>
      <c r="P39" s="106">
        <f t="shared" si="1"/>
        <v>528.61</v>
      </c>
      <c r="Q39" s="25">
        <v>15.4</v>
      </c>
      <c r="R39" s="24">
        <v>44802</v>
      </c>
      <c r="S39" s="26">
        <v>8931297</v>
      </c>
      <c r="T39" s="24">
        <v>44844</v>
      </c>
      <c r="U39" s="25">
        <v>3</v>
      </c>
      <c r="Y39" s="25" t="s">
        <v>692</v>
      </c>
    </row>
    <row r="40" spans="1:25" s="25" customFormat="1" x14ac:dyDescent="0.25">
      <c r="A40" s="23">
        <v>38</v>
      </c>
      <c r="B40" s="24">
        <v>44802</v>
      </c>
      <c r="C40" s="24">
        <v>44802</v>
      </c>
      <c r="D40" s="25" t="s">
        <v>627</v>
      </c>
      <c r="E40" s="25" t="s">
        <v>414</v>
      </c>
      <c r="F40" s="25" t="s">
        <v>628</v>
      </c>
      <c r="G40" s="79">
        <f t="shared" si="0"/>
        <v>44562</v>
      </c>
      <c r="H40" s="14">
        <v>2485822379</v>
      </c>
      <c r="J40" s="19" t="s">
        <v>629</v>
      </c>
      <c r="K40" s="25" t="s">
        <v>633</v>
      </c>
      <c r="L40" s="25" t="s">
        <v>144</v>
      </c>
      <c r="M40" s="25" t="s">
        <v>610</v>
      </c>
      <c r="N40" s="25">
        <v>12</v>
      </c>
      <c r="O40" s="25">
        <v>171.07</v>
      </c>
      <c r="P40" s="106">
        <f t="shared" si="1"/>
        <v>2114.4300000000003</v>
      </c>
      <c r="Q40" s="25">
        <v>61.59</v>
      </c>
      <c r="R40" s="24">
        <v>44802</v>
      </c>
      <c r="S40" s="26">
        <v>8946058</v>
      </c>
      <c r="T40" s="24"/>
      <c r="U40" s="25">
        <v>12</v>
      </c>
      <c r="Y40" s="25" t="s">
        <v>693</v>
      </c>
    </row>
    <row r="41" spans="1:25" s="25" customFormat="1" x14ac:dyDescent="0.25">
      <c r="A41" s="23">
        <v>39</v>
      </c>
      <c r="B41" s="24">
        <v>44802</v>
      </c>
      <c r="C41" s="24">
        <v>44802</v>
      </c>
      <c r="D41" s="25" t="s">
        <v>627</v>
      </c>
      <c r="E41" s="25" t="s">
        <v>414</v>
      </c>
      <c r="F41" s="25" t="s">
        <v>628</v>
      </c>
      <c r="G41" s="79">
        <f t="shared" si="0"/>
        <v>44562</v>
      </c>
      <c r="H41" s="14">
        <v>2485822379</v>
      </c>
      <c r="J41" s="19" t="s">
        <v>629</v>
      </c>
      <c r="K41" s="25" t="s">
        <v>633</v>
      </c>
      <c r="L41" s="25" t="s">
        <v>144</v>
      </c>
      <c r="M41" s="25" t="s">
        <v>610</v>
      </c>
      <c r="N41" s="25">
        <v>12</v>
      </c>
      <c r="O41" s="25">
        <v>171.07</v>
      </c>
      <c r="P41" s="106">
        <f t="shared" si="1"/>
        <v>2114.4300000000003</v>
      </c>
      <c r="Q41" s="25">
        <v>61.59</v>
      </c>
      <c r="R41" s="24">
        <v>44802</v>
      </c>
      <c r="S41" s="26">
        <v>8946058</v>
      </c>
      <c r="T41" s="24"/>
      <c r="U41" s="25">
        <v>12</v>
      </c>
      <c r="Y41" s="25" t="s">
        <v>693</v>
      </c>
    </row>
    <row r="42" spans="1:25" s="25" customFormat="1" x14ac:dyDescent="0.25">
      <c r="A42" s="23">
        <v>40</v>
      </c>
      <c r="B42" s="24">
        <v>44792</v>
      </c>
      <c r="C42" s="24">
        <v>44792</v>
      </c>
      <c r="D42" s="25" t="s">
        <v>316</v>
      </c>
      <c r="E42" s="25" t="s">
        <v>630</v>
      </c>
      <c r="F42" s="25" t="s">
        <v>631</v>
      </c>
      <c r="G42" s="79">
        <f t="shared" si="0"/>
        <v>44927</v>
      </c>
      <c r="H42" s="14">
        <v>4323336181</v>
      </c>
      <c r="J42" s="19" t="s">
        <v>632</v>
      </c>
      <c r="K42" s="25" t="s">
        <v>633</v>
      </c>
      <c r="L42" s="25" t="s">
        <v>144</v>
      </c>
      <c r="M42" s="25" t="s">
        <v>611</v>
      </c>
      <c r="N42" s="25">
        <v>25</v>
      </c>
      <c r="O42" s="25">
        <v>181.44</v>
      </c>
      <c r="P42" s="106">
        <f t="shared" si="1"/>
        <v>4536</v>
      </c>
      <c r="R42" s="24">
        <v>44823</v>
      </c>
      <c r="S42" s="26" t="s">
        <v>694</v>
      </c>
      <c r="T42" s="24">
        <v>44846</v>
      </c>
      <c r="U42" s="25">
        <v>25</v>
      </c>
    </row>
    <row r="43" spans="1:25" s="25" customFormat="1" x14ac:dyDescent="0.25">
      <c r="A43" s="23">
        <v>41</v>
      </c>
      <c r="B43" s="24">
        <v>44802</v>
      </c>
      <c r="C43" s="24">
        <v>44802</v>
      </c>
      <c r="D43" s="25" t="s">
        <v>627</v>
      </c>
      <c r="E43" s="25" t="s">
        <v>414</v>
      </c>
      <c r="F43" s="25" t="s">
        <v>628</v>
      </c>
      <c r="G43" s="79">
        <f t="shared" si="0"/>
        <v>44562</v>
      </c>
      <c r="H43" s="14">
        <v>2485822379</v>
      </c>
      <c r="J43" s="19" t="s">
        <v>629</v>
      </c>
      <c r="K43" s="25" t="s">
        <v>633</v>
      </c>
      <c r="L43" s="25" t="s">
        <v>144</v>
      </c>
      <c r="M43" s="25" t="s">
        <v>610</v>
      </c>
      <c r="N43" s="25">
        <v>40</v>
      </c>
      <c r="O43" s="25">
        <v>171.07</v>
      </c>
      <c r="P43" s="106">
        <f t="shared" si="1"/>
        <v>7048.079999999999</v>
      </c>
      <c r="Q43" s="25">
        <v>205.28</v>
      </c>
      <c r="R43" s="24">
        <v>44824</v>
      </c>
      <c r="S43" s="26">
        <v>8953929</v>
      </c>
      <c r="T43" s="24">
        <v>44847</v>
      </c>
      <c r="U43" s="25">
        <v>40</v>
      </c>
      <c r="Y43" s="25" t="s">
        <v>693</v>
      </c>
    </row>
    <row r="44" spans="1:25" s="30" customFormat="1" x14ac:dyDescent="0.25">
      <c r="A44" s="28">
        <v>42</v>
      </c>
      <c r="B44" s="29">
        <v>44826</v>
      </c>
      <c r="C44" s="29">
        <v>44826</v>
      </c>
      <c r="D44" s="30" t="s">
        <v>695</v>
      </c>
      <c r="E44" s="30" t="s">
        <v>696</v>
      </c>
      <c r="F44" s="30" t="s">
        <v>697</v>
      </c>
      <c r="G44" s="80" t="str">
        <f t="shared" si="0"/>
        <v>NEED FORM</v>
      </c>
      <c r="H44" s="15">
        <v>6503456800</v>
      </c>
      <c r="J44" s="21" t="s">
        <v>698</v>
      </c>
      <c r="K44" s="30" t="s">
        <v>366</v>
      </c>
      <c r="L44" s="30" t="s">
        <v>699</v>
      </c>
      <c r="M44" s="30" t="s">
        <v>700</v>
      </c>
      <c r="N44" s="30">
        <v>2</v>
      </c>
      <c r="O44" s="30">
        <v>171.07</v>
      </c>
      <c r="P44" s="107">
        <f t="shared" si="1"/>
        <v>342.14</v>
      </c>
      <c r="R44" s="29"/>
      <c r="S44" s="31"/>
      <c r="T44" s="29"/>
    </row>
    <row r="45" spans="1:25" s="30" customFormat="1" x14ac:dyDescent="0.25">
      <c r="A45" s="28">
        <v>43</v>
      </c>
      <c r="B45" s="29">
        <v>44826</v>
      </c>
      <c r="C45" s="29">
        <v>44826</v>
      </c>
      <c r="D45" s="30" t="s">
        <v>701</v>
      </c>
      <c r="E45" s="30" t="s">
        <v>702</v>
      </c>
      <c r="G45" s="80" t="str">
        <f t="shared" si="0"/>
        <v>NEED FORM</v>
      </c>
      <c r="H45" s="15"/>
      <c r="J45" s="21" t="s">
        <v>703</v>
      </c>
      <c r="M45" s="30" t="s">
        <v>704</v>
      </c>
      <c r="N45" s="30">
        <v>2</v>
      </c>
      <c r="O45" s="30">
        <v>171.07</v>
      </c>
      <c r="P45" s="107">
        <f t="shared" si="1"/>
        <v>342.14</v>
      </c>
      <c r="R45" s="29"/>
      <c r="S45" s="31"/>
      <c r="T45" s="29"/>
    </row>
    <row r="46" spans="1:25" s="30" customFormat="1" x14ac:dyDescent="0.25">
      <c r="A46" s="28">
        <v>44</v>
      </c>
      <c r="B46" s="29">
        <v>44826</v>
      </c>
      <c r="C46" s="29">
        <v>44826</v>
      </c>
      <c r="D46" s="30" t="s">
        <v>105</v>
      </c>
      <c r="E46" s="30" t="s">
        <v>705</v>
      </c>
      <c r="F46" s="30" t="s">
        <v>706</v>
      </c>
      <c r="G46" s="80" t="str">
        <f t="shared" si="0"/>
        <v>NEED FORM</v>
      </c>
      <c r="H46" s="15" t="s">
        <v>707</v>
      </c>
      <c r="J46" s="21" t="s">
        <v>708</v>
      </c>
      <c r="M46" s="30" t="s">
        <v>626</v>
      </c>
      <c r="N46" s="30">
        <v>6</v>
      </c>
      <c r="O46" s="30">
        <v>167.18</v>
      </c>
      <c r="P46" s="107">
        <f t="shared" si="1"/>
        <v>1003.08</v>
      </c>
      <c r="R46" s="29"/>
      <c r="S46" s="31"/>
      <c r="T46" s="29"/>
    </row>
    <row r="47" spans="1:25" s="30" customFormat="1" x14ac:dyDescent="0.25">
      <c r="A47" s="28">
        <v>45</v>
      </c>
      <c r="B47" s="29">
        <v>44826</v>
      </c>
      <c r="C47" s="29">
        <v>44826</v>
      </c>
      <c r="D47" s="30" t="s">
        <v>709</v>
      </c>
      <c r="E47" s="30" t="s">
        <v>710</v>
      </c>
      <c r="F47" s="30" t="s">
        <v>711</v>
      </c>
      <c r="G47" s="80" t="str">
        <f t="shared" si="0"/>
        <v>NEED FORM</v>
      </c>
      <c r="H47" s="15">
        <v>8172524027</v>
      </c>
      <c r="J47" s="21" t="s">
        <v>712</v>
      </c>
      <c r="M47" s="30" t="s">
        <v>626</v>
      </c>
      <c r="N47" s="30">
        <v>6</v>
      </c>
      <c r="O47" s="30">
        <v>167.18</v>
      </c>
      <c r="P47" s="107">
        <f t="shared" si="1"/>
        <v>1003.08</v>
      </c>
      <c r="R47" s="29"/>
      <c r="S47" s="31"/>
      <c r="T47" s="29"/>
    </row>
    <row r="48" spans="1:25" s="30" customFormat="1" ht="14.1" customHeight="1" x14ac:dyDescent="0.25">
      <c r="A48" s="28">
        <v>46</v>
      </c>
      <c r="B48" s="29">
        <v>44826</v>
      </c>
      <c r="C48" s="29">
        <v>44826</v>
      </c>
      <c r="D48" s="30" t="s">
        <v>528</v>
      </c>
      <c r="E48" s="30" t="s">
        <v>663</v>
      </c>
      <c r="F48" s="30" t="s">
        <v>713</v>
      </c>
      <c r="G48" s="80" t="str">
        <f t="shared" si="0"/>
        <v>Requested</v>
      </c>
      <c r="H48" s="15">
        <v>5754164103</v>
      </c>
      <c r="J48" s="30" t="s">
        <v>665</v>
      </c>
      <c r="M48" s="30" t="s">
        <v>610</v>
      </c>
      <c r="N48" s="30">
        <v>22</v>
      </c>
      <c r="O48" s="30">
        <v>163.30000000000001</v>
      </c>
      <c r="P48" s="107">
        <f t="shared" si="1"/>
        <v>3592.6000000000004</v>
      </c>
      <c r="R48" s="29"/>
      <c r="S48" s="31"/>
      <c r="T48" s="29"/>
    </row>
    <row r="49" spans="1:22" s="25" customFormat="1" x14ac:dyDescent="0.25">
      <c r="A49" s="23">
        <v>47</v>
      </c>
      <c r="B49" s="24">
        <v>44826</v>
      </c>
      <c r="C49" s="24">
        <v>44826</v>
      </c>
      <c r="D49" s="25" t="s">
        <v>714</v>
      </c>
      <c r="E49" s="25" t="s">
        <v>265</v>
      </c>
      <c r="F49" s="33" t="s">
        <v>715</v>
      </c>
      <c r="G49" s="84" t="str">
        <f t="shared" si="0"/>
        <v>NEED FORM</v>
      </c>
      <c r="H49" s="14" t="s">
        <v>135</v>
      </c>
      <c r="J49" s="19" t="s">
        <v>716</v>
      </c>
      <c r="K49" s="25" t="s">
        <v>505</v>
      </c>
      <c r="L49" s="25" t="s">
        <v>144</v>
      </c>
      <c r="M49" s="25" t="s">
        <v>610</v>
      </c>
      <c r="N49" s="25">
        <v>2</v>
      </c>
      <c r="O49" s="25">
        <v>171.07</v>
      </c>
      <c r="P49" s="106">
        <f t="shared" si="1"/>
        <v>342.14</v>
      </c>
      <c r="R49" s="24">
        <v>44909</v>
      </c>
      <c r="S49" s="26">
        <v>4348817</v>
      </c>
      <c r="T49" s="24"/>
      <c r="U49" s="25">
        <v>2</v>
      </c>
    </row>
    <row r="50" spans="1:22" s="30" customFormat="1" x14ac:dyDescent="0.25">
      <c r="A50" s="28">
        <v>48</v>
      </c>
      <c r="B50" s="29">
        <v>44826</v>
      </c>
      <c r="C50" s="29">
        <v>44826</v>
      </c>
      <c r="D50" s="30" t="s">
        <v>717</v>
      </c>
      <c r="E50" s="30" t="s">
        <v>718</v>
      </c>
      <c r="F50" s="34" t="s">
        <v>719</v>
      </c>
      <c r="G50" s="85" t="str">
        <f t="shared" si="0"/>
        <v>NEED FORM</v>
      </c>
      <c r="H50" s="264" t="s">
        <v>720</v>
      </c>
      <c r="J50" s="21" t="s">
        <v>721</v>
      </c>
      <c r="M50" s="30" t="s">
        <v>611</v>
      </c>
      <c r="N50" s="30">
        <v>5</v>
      </c>
      <c r="O50" s="30">
        <v>185.76</v>
      </c>
      <c r="P50" s="107">
        <f t="shared" si="1"/>
        <v>928.8</v>
      </c>
      <c r="R50" s="29"/>
      <c r="S50" s="31"/>
      <c r="T50" s="29"/>
    </row>
    <row r="51" spans="1:22" s="25" customFormat="1" x14ac:dyDescent="0.25">
      <c r="A51" s="23">
        <v>49</v>
      </c>
      <c r="B51" s="24">
        <v>44750</v>
      </c>
      <c r="C51" s="24">
        <v>44750</v>
      </c>
      <c r="D51" s="25" t="s">
        <v>634</v>
      </c>
      <c r="E51" s="25" t="s">
        <v>635</v>
      </c>
      <c r="F51" s="25" t="s">
        <v>636</v>
      </c>
      <c r="G51" s="79" t="str">
        <f t="shared" si="0"/>
        <v>NEED FORM</v>
      </c>
      <c r="H51" s="14">
        <v>4506521800</v>
      </c>
      <c r="I51" s="25">
        <v>8839</v>
      </c>
      <c r="J51" s="19" t="s">
        <v>637</v>
      </c>
      <c r="K51" s="25" t="s">
        <v>243</v>
      </c>
      <c r="L51" s="25" t="s">
        <v>112</v>
      </c>
      <c r="M51" s="25" t="s">
        <v>611</v>
      </c>
      <c r="N51" s="25">
        <v>6</v>
      </c>
      <c r="O51" s="25">
        <v>154.80000000000001</v>
      </c>
      <c r="P51" s="106">
        <f t="shared" si="1"/>
        <v>928.80000000000007</v>
      </c>
      <c r="R51" s="24">
        <v>44834</v>
      </c>
      <c r="S51" s="26" t="s">
        <v>722</v>
      </c>
      <c r="T51" s="24">
        <v>44764</v>
      </c>
      <c r="U51" s="25">
        <v>6</v>
      </c>
    </row>
    <row r="52" spans="1:22" s="25" customFormat="1" x14ac:dyDescent="0.25">
      <c r="A52" s="23">
        <v>50</v>
      </c>
      <c r="B52" s="24">
        <v>44750</v>
      </c>
      <c r="C52" s="24">
        <v>44750</v>
      </c>
      <c r="D52" s="25" t="s">
        <v>634</v>
      </c>
      <c r="E52" s="25" t="s">
        <v>635</v>
      </c>
      <c r="F52" s="25" t="s">
        <v>636</v>
      </c>
      <c r="G52" s="79" t="str">
        <f t="shared" si="0"/>
        <v>NEED FORM</v>
      </c>
      <c r="H52" s="14">
        <v>4506521800</v>
      </c>
      <c r="I52" s="25">
        <v>8839</v>
      </c>
      <c r="J52" s="19" t="s">
        <v>637</v>
      </c>
      <c r="K52" s="25" t="s">
        <v>243</v>
      </c>
      <c r="L52" s="25" t="s">
        <v>112</v>
      </c>
      <c r="M52" s="25" t="s">
        <v>610</v>
      </c>
      <c r="N52" s="25">
        <v>20</v>
      </c>
      <c r="O52" s="25">
        <v>136.08000000000001</v>
      </c>
      <c r="P52" s="106">
        <f t="shared" si="1"/>
        <v>2721.6000000000004</v>
      </c>
      <c r="R52" s="24">
        <v>44834</v>
      </c>
      <c r="S52" s="26" t="s">
        <v>722</v>
      </c>
      <c r="T52" s="24">
        <v>44764</v>
      </c>
      <c r="U52" s="25">
        <v>20</v>
      </c>
    </row>
    <row r="53" spans="1:22" s="25" customFormat="1" x14ac:dyDescent="0.25">
      <c r="A53" s="23">
        <v>51</v>
      </c>
      <c r="B53" s="24">
        <v>44750</v>
      </c>
      <c r="C53" s="24">
        <v>44750</v>
      </c>
      <c r="D53" s="25" t="s">
        <v>634</v>
      </c>
      <c r="E53" s="25" t="s">
        <v>635</v>
      </c>
      <c r="F53" s="25" t="s">
        <v>636</v>
      </c>
      <c r="G53" s="79" t="str">
        <f t="shared" si="0"/>
        <v>NEED FORM</v>
      </c>
      <c r="H53" s="14">
        <v>4506521800</v>
      </c>
      <c r="I53" s="25">
        <v>8839</v>
      </c>
      <c r="J53" s="19" t="s">
        <v>637</v>
      </c>
      <c r="K53" s="25" t="s">
        <v>243</v>
      </c>
      <c r="L53" s="25" t="s">
        <v>112</v>
      </c>
      <c r="M53" s="25" t="s">
        <v>608</v>
      </c>
      <c r="N53" s="25">
        <v>6</v>
      </c>
      <c r="O53" s="25">
        <v>139.35</v>
      </c>
      <c r="P53" s="106">
        <f t="shared" si="1"/>
        <v>836.09999999999991</v>
      </c>
      <c r="R53" s="24">
        <v>44834</v>
      </c>
      <c r="S53" s="26" t="s">
        <v>722</v>
      </c>
      <c r="T53" s="24">
        <v>44764</v>
      </c>
      <c r="U53" s="25">
        <v>6</v>
      </c>
    </row>
    <row r="54" spans="1:22" s="25" customFormat="1" x14ac:dyDescent="0.25">
      <c r="A54" s="23">
        <v>52</v>
      </c>
      <c r="B54" s="24">
        <v>44750</v>
      </c>
      <c r="C54" s="24">
        <v>44750</v>
      </c>
      <c r="D54" s="25" t="s">
        <v>634</v>
      </c>
      <c r="E54" s="25" t="s">
        <v>635</v>
      </c>
      <c r="F54" s="25" t="s">
        <v>636</v>
      </c>
      <c r="G54" s="79" t="str">
        <f t="shared" si="0"/>
        <v>NEED FORM</v>
      </c>
      <c r="H54" s="14">
        <v>4506521800</v>
      </c>
      <c r="I54" s="25">
        <v>8839</v>
      </c>
      <c r="J54" s="19" t="s">
        <v>637</v>
      </c>
      <c r="K54" s="25" t="s">
        <v>243</v>
      </c>
      <c r="L54" s="25" t="s">
        <v>112</v>
      </c>
      <c r="M54" s="25" t="s">
        <v>639</v>
      </c>
      <c r="N54" s="25">
        <v>6</v>
      </c>
      <c r="O54" s="25">
        <v>139.35</v>
      </c>
      <c r="P54" s="106">
        <f t="shared" si="1"/>
        <v>836.09999999999991</v>
      </c>
      <c r="R54" s="24">
        <v>44834</v>
      </c>
      <c r="S54" s="26" t="s">
        <v>722</v>
      </c>
      <c r="T54" s="24">
        <v>44764</v>
      </c>
      <c r="U54" s="25">
        <v>6</v>
      </c>
    </row>
    <row r="55" spans="1:22" s="25" customFormat="1" x14ac:dyDescent="0.25">
      <c r="A55" s="23">
        <v>53</v>
      </c>
      <c r="B55" s="24">
        <v>44833</v>
      </c>
      <c r="C55" s="24">
        <v>44833</v>
      </c>
      <c r="D55" s="25" t="s">
        <v>234</v>
      </c>
      <c r="E55" s="25" t="s">
        <v>680</v>
      </c>
      <c r="F55" s="25" t="s">
        <v>361</v>
      </c>
      <c r="G55" s="79">
        <f t="shared" si="0"/>
        <v>45336</v>
      </c>
      <c r="H55" s="14">
        <v>5022912906</v>
      </c>
      <c r="J55" s="25" t="s">
        <v>681</v>
      </c>
      <c r="M55" s="25" t="s">
        <v>723</v>
      </c>
      <c r="N55" s="25">
        <v>20</v>
      </c>
      <c r="O55" s="25">
        <v>181.44</v>
      </c>
      <c r="P55" s="106">
        <f t="shared" si="1"/>
        <v>3628.8</v>
      </c>
      <c r="R55" s="24">
        <v>44835</v>
      </c>
      <c r="S55" s="26" t="s">
        <v>724</v>
      </c>
      <c r="T55" s="24">
        <v>44859</v>
      </c>
      <c r="U55" s="25">
        <v>20</v>
      </c>
      <c r="V55" s="25" t="s">
        <v>683</v>
      </c>
    </row>
    <row r="56" spans="1:22" s="25" customFormat="1" x14ac:dyDescent="0.25">
      <c r="A56" s="23">
        <v>54</v>
      </c>
      <c r="B56" s="24">
        <v>44834</v>
      </c>
      <c r="C56" s="24">
        <v>44834</v>
      </c>
      <c r="D56" s="25" t="s">
        <v>620</v>
      </c>
      <c r="E56" s="25" t="s">
        <v>621</v>
      </c>
      <c r="F56" s="25" t="s">
        <v>622</v>
      </c>
      <c r="G56" s="79" t="str">
        <f t="shared" si="0"/>
        <v>Malaysia</v>
      </c>
      <c r="H56" s="14" t="s">
        <v>725</v>
      </c>
      <c r="J56" s="19" t="s">
        <v>623</v>
      </c>
      <c r="L56" s="25" t="s">
        <v>624</v>
      </c>
      <c r="M56" s="25" t="s">
        <v>626</v>
      </c>
      <c r="N56" s="25">
        <v>15</v>
      </c>
      <c r="O56" s="25">
        <v>163.30000000000001</v>
      </c>
      <c r="P56" s="106">
        <f t="shared" si="1"/>
        <v>2449.5</v>
      </c>
      <c r="Q56" s="25">
        <v>0</v>
      </c>
      <c r="R56" s="24">
        <v>44853</v>
      </c>
      <c r="S56" s="26" t="s">
        <v>726</v>
      </c>
      <c r="T56" s="24">
        <v>44910</v>
      </c>
      <c r="U56" s="25">
        <v>15</v>
      </c>
    </row>
    <row r="57" spans="1:22" s="25" customFormat="1" x14ac:dyDescent="0.25">
      <c r="A57" s="23">
        <v>55</v>
      </c>
      <c r="B57" s="24">
        <v>44840</v>
      </c>
      <c r="C57" s="24">
        <v>44840</v>
      </c>
      <c r="D57" s="25" t="s">
        <v>95</v>
      </c>
      <c r="E57" s="25" t="s">
        <v>727</v>
      </c>
      <c r="F57" s="25" t="s">
        <v>728</v>
      </c>
      <c r="G57" s="79">
        <f t="shared" si="0"/>
        <v>45358</v>
      </c>
      <c r="H57" s="14">
        <v>6265440202</v>
      </c>
      <c r="J57" s="25" t="s">
        <v>729</v>
      </c>
      <c r="K57" s="25" t="s">
        <v>730</v>
      </c>
      <c r="L57" s="25" t="s">
        <v>174</v>
      </c>
      <c r="M57" s="25" t="s">
        <v>608</v>
      </c>
      <c r="N57" s="25">
        <v>10</v>
      </c>
      <c r="O57" s="25">
        <v>163.30000000000001</v>
      </c>
      <c r="P57" s="106">
        <f t="shared" si="1"/>
        <v>1633</v>
      </c>
      <c r="R57" s="24">
        <v>44840</v>
      </c>
      <c r="S57" s="26" t="s">
        <v>731</v>
      </c>
      <c r="T57" s="24">
        <v>44873</v>
      </c>
      <c r="U57" s="25">
        <v>10</v>
      </c>
    </row>
    <row r="58" spans="1:22" s="38" customFormat="1" x14ac:dyDescent="0.25">
      <c r="A58" s="36">
        <v>56</v>
      </c>
      <c r="B58" s="37">
        <v>44840</v>
      </c>
      <c r="C58" s="37">
        <v>44840</v>
      </c>
      <c r="D58" s="38" t="s">
        <v>95</v>
      </c>
      <c r="E58" s="38" t="s">
        <v>727</v>
      </c>
      <c r="F58" s="38" t="s">
        <v>728</v>
      </c>
      <c r="G58" s="86">
        <f t="shared" si="0"/>
        <v>45358</v>
      </c>
      <c r="H58" s="16">
        <v>6265440202</v>
      </c>
      <c r="J58" s="38" t="s">
        <v>729</v>
      </c>
      <c r="K58" s="38" t="s">
        <v>730</v>
      </c>
      <c r="L58" s="38" t="s">
        <v>174</v>
      </c>
      <c r="M58" s="38" t="s">
        <v>610</v>
      </c>
      <c r="N58" s="38">
        <v>10</v>
      </c>
      <c r="O58" s="38">
        <v>163.30000000000001</v>
      </c>
      <c r="P58" s="106">
        <f t="shared" si="1"/>
        <v>1633</v>
      </c>
      <c r="R58" s="24">
        <v>44840</v>
      </c>
      <c r="S58" s="39" t="s">
        <v>731</v>
      </c>
      <c r="T58" s="37">
        <v>44873</v>
      </c>
      <c r="U58" s="38">
        <v>10</v>
      </c>
    </row>
    <row r="59" spans="1:22" s="38" customFormat="1" x14ac:dyDescent="0.25">
      <c r="A59" s="36">
        <v>57</v>
      </c>
      <c r="B59" s="37">
        <v>44840</v>
      </c>
      <c r="C59" s="37">
        <v>44840</v>
      </c>
      <c r="D59" s="38" t="s">
        <v>95</v>
      </c>
      <c r="E59" s="38" t="s">
        <v>727</v>
      </c>
      <c r="F59" s="38" t="s">
        <v>728</v>
      </c>
      <c r="G59" s="86">
        <f t="shared" si="0"/>
        <v>45358</v>
      </c>
      <c r="H59" s="16">
        <v>6265440202</v>
      </c>
      <c r="J59" s="38" t="s">
        <v>729</v>
      </c>
      <c r="K59" s="38" t="s">
        <v>730</v>
      </c>
      <c r="L59" s="38" t="s">
        <v>174</v>
      </c>
      <c r="M59" s="38" t="s">
        <v>639</v>
      </c>
      <c r="N59" s="38">
        <v>10</v>
      </c>
      <c r="O59" s="38">
        <v>163.30000000000001</v>
      </c>
      <c r="P59" s="106">
        <f t="shared" si="1"/>
        <v>1633</v>
      </c>
      <c r="R59" s="24">
        <v>44840</v>
      </c>
      <c r="S59" s="39" t="s">
        <v>731</v>
      </c>
      <c r="T59" s="37">
        <v>44873</v>
      </c>
      <c r="U59" s="38">
        <v>10</v>
      </c>
    </row>
    <row r="60" spans="1:22" s="38" customFormat="1" x14ac:dyDescent="0.25">
      <c r="A60" s="36">
        <v>58</v>
      </c>
      <c r="B60" s="37">
        <v>44840</v>
      </c>
      <c r="C60" s="37">
        <v>44840</v>
      </c>
      <c r="D60" s="38" t="s">
        <v>95</v>
      </c>
      <c r="E60" s="38" t="s">
        <v>727</v>
      </c>
      <c r="F60" s="38" t="s">
        <v>728</v>
      </c>
      <c r="G60" s="86">
        <f t="shared" si="0"/>
        <v>45358</v>
      </c>
      <c r="H60" s="16">
        <v>6265440202</v>
      </c>
      <c r="J60" s="38" t="s">
        <v>729</v>
      </c>
      <c r="K60" s="38" t="s">
        <v>730</v>
      </c>
      <c r="L60" s="38" t="s">
        <v>174</v>
      </c>
      <c r="M60" s="38" t="s">
        <v>723</v>
      </c>
      <c r="N60" s="38">
        <v>10</v>
      </c>
      <c r="O60" s="38">
        <v>181.44</v>
      </c>
      <c r="P60" s="106">
        <f t="shared" si="1"/>
        <v>1814.4</v>
      </c>
      <c r="R60" s="24">
        <v>44840</v>
      </c>
      <c r="S60" s="39" t="s">
        <v>731</v>
      </c>
      <c r="T60" s="37">
        <v>44873</v>
      </c>
      <c r="U60" s="38">
        <v>10</v>
      </c>
    </row>
    <row r="61" spans="1:22" s="38" customFormat="1" x14ac:dyDescent="0.25">
      <c r="A61" s="36">
        <v>59</v>
      </c>
      <c r="B61" s="37">
        <v>44840</v>
      </c>
      <c r="C61" s="37">
        <v>44840</v>
      </c>
      <c r="D61" s="38" t="s">
        <v>95</v>
      </c>
      <c r="E61" s="38" t="s">
        <v>727</v>
      </c>
      <c r="F61" s="38" t="s">
        <v>728</v>
      </c>
      <c r="G61" s="86">
        <f t="shared" si="0"/>
        <v>45358</v>
      </c>
      <c r="H61" s="16">
        <v>6265440202</v>
      </c>
      <c r="J61" s="38" t="s">
        <v>729</v>
      </c>
      <c r="K61" s="38" t="s">
        <v>730</v>
      </c>
      <c r="L61" s="38" t="s">
        <v>174</v>
      </c>
      <c r="M61" s="38" t="s">
        <v>611</v>
      </c>
      <c r="N61" s="38">
        <v>10</v>
      </c>
      <c r="O61" s="38">
        <v>181.44</v>
      </c>
      <c r="P61" s="106">
        <f t="shared" si="1"/>
        <v>1814.4</v>
      </c>
      <c r="R61" s="24">
        <v>44840</v>
      </c>
      <c r="S61" s="39" t="s">
        <v>731</v>
      </c>
      <c r="T61" s="37">
        <v>44873</v>
      </c>
      <c r="U61" s="38">
        <v>10</v>
      </c>
    </row>
    <row r="62" spans="1:22" s="38" customFormat="1" x14ac:dyDescent="0.25">
      <c r="A62" s="36">
        <v>60</v>
      </c>
      <c r="B62" s="37">
        <v>44840</v>
      </c>
      <c r="C62" s="37">
        <v>44840</v>
      </c>
      <c r="D62" s="38" t="s">
        <v>95</v>
      </c>
      <c r="E62" s="38" t="s">
        <v>727</v>
      </c>
      <c r="F62" s="38" t="s">
        <v>728</v>
      </c>
      <c r="G62" s="86">
        <f t="shared" si="0"/>
        <v>45358</v>
      </c>
      <c r="H62" s="16">
        <v>6265440202</v>
      </c>
      <c r="J62" s="38" t="s">
        <v>729</v>
      </c>
      <c r="K62" s="38" t="s">
        <v>730</v>
      </c>
      <c r="L62" s="38" t="s">
        <v>174</v>
      </c>
      <c r="M62" s="38" t="s">
        <v>704</v>
      </c>
      <c r="N62" s="38">
        <v>10</v>
      </c>
      <c r="O62" s="38">
        <v>163.30000000000001</v>
      </c>
      <c r="P62" s="106">
        <f t="shared" si="1"/>
        <v>1633</v>
      </c>
      <c r="R62" s="24">
        <v>44840</v>
      </c>
      <c r="S62" s="39" t="s">
        <v>731</v>
      </c>
      <c r="T62" s="37">
        <v>44873</v>
      </c>
      <c r="U62" s="38">
        <v>10</v>
      </c>
    </row>
    <row r="63" spans="1:22" s="38" customFormat="1" x14ac:dyDescent="0.25">
      <c r="A63" s="36">
        <v>61</v>
      </c>
      <c r="B63" s="37">
        <v>44840</v>
      </c>
      <c r="C63" s="37">
        <v>44840</v>
      </c>
      <c r="D63" s="38" t="s">
        <v>95</v>
      </c>
      <c r="E63" s="38" t="s">
        <v>727</v>
      </c>
      <c r="F63" s="38" t="s">
        <v>728</v>
      </c>
      <c r="G63" s="86">
        <f t="shared" si="0"/>
        <v>45358</v>
      </c>
      <c r="H63" s="16">
        <v>6265440202</v>
      </c>
      <c r="J63" s="38" t="s">
        <v>729</v>
      </c>
      <c r="K63" s="38" t="s">
        <v>730</v>
      </c>
      <c r="L63" s="38" t="s">
        <v>174</v>
      </c>
      <c r="M63" s="38" t="s">
        <v>625</v>
      </c>
      <c r="N63" s="38">
        <v>10</v>
      </c>
      <c r="O63" s="38">
        <v>163.30000000000001</v>
      </c>
      <c r="P63" s="106">
        <f t="shared" si="1"/>
        <v>1633</v>
      </c>
      <c r="R63" s="24">
        <v>44840</v>
      </c>
      <c r="S63" s="39" t="s">
        <v>731</v>
      </c>
      <c r="T63" s="37">
        <v>44873</v>
      </c>
      <c r="U63" s="38">
        <v>10</v>
      </c>
    </row>
    <row r="64" spans="1:22" s="38" customFormat="1" x14ac:dyDescent="0.25">
      <c r="A64" s="36">
        <v>62</v>
      </c>
      <c r="B64" s="37">
        <v>44840</v>
      </c>
      <c r="C64" s="37">
        <v>44840</v>
      </c>
      <c r="D64" s="38" t="s">
        <v>95</v>
      </c>
      <c r="E64" s="38" t="s">
        <v>727</v>
      </c>
      <c r="F64" s="38" t="s">
        <v>728</v>
      </c>
      <c r="G64" s="86">
        <f t="shared" si="0"/>
        <v>45358</v>
      </c>
      <c r="H64" s="16">
        <v>6265440202</v>
      </c>
      <c r="J64" s="38" t="s">
        <v>729</v>
      </c>
      <c r="K64" s="38" t="s">
        <v>730</v>
      </c>
      <c r="L64" s="38" t="s">
        <v>174</v>
      </c>
      <c r="M64" s="38" t="s">
        <v>626</v>
      </c>
      <c r="N64" s="38">
        <v>10</v>
      </c>
      <c r="O64" s="38">
        <v>163.30000000000001</v>
      </c>
      <c r="P64" s="106">
        <f t="shared" si="1"/>
        <v>1633</v>
      </c>
      <c r="R64" s="24">
        <v>44840</v>
      </c>
      <c r="S64" s="39" t="s">
        <v>731</v>
      </c>
      <c r="T64" s="37">
        <v>44873</v>
      </c>
      <c r="U64" s="38">
        <v>10</v>
      </c>
    </row>
    <row r="65" spans="1:25" s="38" customFormat="1" x14ac:dyDescent="0.25">
      <c r="A65" s="36">
        <v>63</v>
      </c>
      <c r="B65" s="37">
        <v>44840</v>
      </c>
      <c r="C65" s="37">
        <v>44840</v>
      </c>
      <c r="D65" s="38" t="s">
        <v>95</v>
      </c>
      <c r="E65" s="38" t="s">
        <v>727</v>
      </c>
      <c r="F65" s="38" t="s">
        <v>728</v>
      </c>
      <c r="G65" s="86">
        <f t="shared" si="0"/>
        <v>45358</v>
      </c>
      <c r="H65" s="16">
        <v>6265440202</v>
      </c>
      <c r="J65" s="38" t="s">
        <v>729</v>
      </c>
      <c r="K65" s="38" t="s">
        <v>730</v>
      </c>
      <c r="L65" s="38" t="s">
        <v>174</v>
      </c>
      <c r="M65" s="38" t="s">
        <v>732</v>
      </c>
      <c r="N65" s="38">
        <v>10</v>
      </c>
      <c r="O65" s="38">
        <v>181.44</v>
      </c>
      <c r="P65" s="106">
        <f t="shared" si="1"/>
        <v>1814.4</v>
      </c>
      <c r="R65" s="24">
        <v>44840</v>
      </c>
      <c r="S65" s="39" t="s">
        <v>731</v>
      </c>
      <c r="T65" s="37">
        <v>44873</v>
      </c>
      <c r="U65" s="38">
        <v>10</v>
      </c>
    </row>
    <row r="66" spans="1:25" s="25" customFormat="1" x14ac:dyDescent="0.25">
      <c r="A66" s="23">
        <v>64</v>
      </c>
      <c r="B66" s="24">
        <v>44845</v>
      </c>
      <c r="C66" s="24">
        <v>44845</v>
      </c>
      <c r="D66" s="25" t="s">
        <v>666</v>
      </c>
      <c r="E66" s="25" t="s">
        <v>484</v>
      </c>
      <c r="F66" s="25" t="s">
        <v>667</v>
      </c>
      <c r="G66" s="79">
        <f t="shared" si="0"/>
        <v>45310</v>
      </c>
      <c r="H66" s="14">
        <v>4092423351</v>
      </c>
      <c r="J66" s="19" t="s">
        <v>668</v>
      </c>
      <c r="K66" s="25" t="s">
        <v>669</v>
      </c>
      <c r="L66" s="25" t="s">
        <v>144</v>
      </c>
      <c r="M66" s="25" t="s">
        <v>639</v>
      </c>
      <c r="N66" s="25">
        <v>2</v>
      </c>
      <c r="O66" s="25">
        <v>176.2</v>
      </c>
      <c r="P66" s="106">
        <f t="shared" si="1"/>
        <v>352.42999999999995</v>
      </c>
      <c r="Q66" s="32">
        <v>0.03</v>
      </c>
      <c r="R66" s="24">
        <v>44845</v>
      </c>
      <c r="S66" s="26" t="s">
        <v>733</v>
      </c>
      <c r="T66" s="24">
        <v>44876</v>
      </c>
      <c r="U66" s="25">
        <v>2</v>
      </c>
      <c r="Y66" s="25" t="s">
        <v>671</v>
      </c>
    </row>
    <row r="67" spans="1:25" s="42" customFormat="1" x14ac:dyDescent="0.25">
      <c r="A67" s="40">
        <v>65</v>
      </c>
      <c r="B67" s="41">
        <v>44840</v>
      </c>
      <c r="C67" s="41">
        <v>44845</v>
      </c>
      <c r="D67" s="42" t="s">
        <v>734</v>
      </c>
      <c r="E67" s="42" t="s">
        <v>735</v>
      </c>
      <c r="F67" s="42" t="s">
        <v>736</v>
      </c>
      <c r="G67" s="87" t="str">
        <f t="shared" ref="G67:G130" si="2">_xlfn.IFNA(VLOOKUP(F67,TAX,2,FALSE), "NEED FORM")</f>
        <v>NEED FORM</v>
      </c>
      <c r="H67" s="17">
        <v>6042963409</v>
      </c>
      <c r="J67" s="42" t="s">
        <v>737</v>
      </c>
      <c r="K67" s="42" t="s">
        <v>738</v>
      </c>
      <c r="L67" s="42" t="s">
        <v>739</v>
      </c>
      <c r="M67" s="42" t="s">
        <v>608</v>
      </c>
      <c r="N67" s="42">
        <v>50</v>
      </c>
      <c r="O67" s="42">
        <v>154.08000000000001</v>
      </c>
      <c r="P67" s="107">
        <f t="shared" ref="P67:P130" si="3">N67*O67+Q67</f>
        <v>7704.0000000000009</v>
      </c>
      <c r="R67" s="41"/>
      <c r="S67" s="43"/>
      <c r="T67" s="41"/>
    </row>
    <row r="68" spans="1:25" s="42" customFormat="1" x14ac:dyDescent="0.25">
      <c r="A68" s="40">
        <v>66</v>
      </c>
      <c r="B68" s="41">
        <v>44840</v>
      </c>
      <c r="C68" s="41">
        <v>44845</v>
      </c>
      <c r="D68" s="42" t="s">
        <v>734</v>
      </c>
      <c r="E68" s="42" t="s">
        <v>735</v>
      </c>
      <c r="F68" s="42" t="s">
        <v>736</v>
      </c>
      <c r="G68" s="87" t="str">
        <f t="shared" si="2"/>
        <v>NEED FORM</v>
      </c>
      <c r="H68" s="17">
        <v>6042963409</v>
      </c>
      <c r="J68" s="42" t="s">
        <v>737</v>
      </c>
      <c r="K68" s="42" t="s">
        <v>738</v>
      </c>
      <c r="L68" s="42" t="s">
        <v>739</v>
      </c>
      <c r="M68" s="42" t="s">
        <v>610</v>
      </c>
      <c r="N68" s="42">
        <v>50</v>
      </c>
      <c r="O68" s="42">
        <v>154.08000000000001</v>
      </c>
      <c r="P68" s="107">
        <f t="shared" si="3"/>
        <v>7704.0000000000009</v>
      </c>
      <c r="R68" s="41"/>
      <c r="S68" s="43"/>
      <c r="T68" s="41"/>
    </row>
    <row r="69" spans="1:25" s="38" customFormat="1" x14ac:dyDescent="0.25">
      <c r="A69" s="36">
        <v>67</v>
      </c>
      <c r="B69" s="37">
        <v>44847</v>
      </c>
      <c r="C69" s="37">
        <v>44847</v>
      </c>
      <c r="D69" s="38" t="s">
        <v>160</v>
      </c>
      <c r="E69" s="38" t="s">
        <v>740</v>
      </c>
      <c r="F69" s="44" t="s">
        <v>741</v>
      </c>
      <c r="G69" s="88" t="str">
        <f t="shared" si="2"/>
        <v>NEED FORM</v>
      </c>
      <c r="H69" s="195" t="s">
        <v>742</v>
      </c>
      <c r="J69" s="45" t="s">
        <v>743</v>
      </c>
      <c r="K69" s="38" t="s">
        <v>744</v>
      </c>
      <c r="L69" s="38" t="s">
        <v>96</v>
      </c>
      <c r="M69" s="38" t="s">
        <v>610</v>
      </c>
      <c r="N69" s="38">
        <v>7</v>
      </c>
      <c r="O69" s="38">
        <v>167.18</v>
      </c>
      <c r="P69" s="106" t="e">
        <f t="shared" si="3"/>
        <v>#VALUE!</v>
      </c>
      <c r="Q69" s="38" t="s">
        <v>745</v>
      </c>
      <c r="R69" s="37">
        <v>44847</v>
      </c>
      <c r="S69" s="39"/>
      <c r="T69" s="24">
        <v>44876</v>
      </c>
      <c r="U69" s="38">
        <v>7</v>
      </c>
    </row>
    <row r="70" spans="1:25" s="38" customFormat="1" x14ac:dyDescent="0.25">
      <c r="A70" s="36">
        <v>68</v>
      </c>
      <c r="B70" s="37">
        <v>44847</v>
      </c>
      <c r="C70" s="37">
        <v>44847</v>
      </c>
      <c r="D70" s="38" t="s">
        <v>160</v>
      </c>
      <c r="E70" s="38" t="s">
        <v>740</v>
      </c>
      <c r="F70" s="44" t="s">
        <v>741</v>
      </c>
      <c r="G70" s="88" t="str">
        <f t="shared" si="2"/>
        <v>NEED FORM</v>
      </c>
      <c r="H70" s="195" t="s">
        <v>742</v>
      </c>
      <c r="J70" s="45" t="s">
        <v>743</v>
      </c>
      <c r="K70" s="38" t="s">
        <v>744</v>
      </c>
      <c r="L70" s="38" t="s">
        <v>96</v>
      </c>
      <c r="M70" s="38" t="s">
        <v>746</v>
      </c>
      <c r="N70" s="38">
        <v>30</v>
      </c>
      <c r="O70" s="38">
        <v>109.14</v>
      </c>
      <c r="P70" s="106" t="e">
        <f t="shared" si="3"/>
        <v>#VALUE!</v>
      </c>
      <c r="Q70" s="38" t="s">
        <v>745</v>
      </c>
      <c r="R70" s="37">
        <v>44847</v>
      </c>
      <c r="S70" s="39"/>
      <c r="T70" s="24">
        <v>44876</v>
      </c>
      <c r="U70" s="38">
        <v>3</v>
      </c>
    </row>
    <row r="71" spans="1:25" s="38" customFormat="1" x14ac:dyDescent="0.25">
      <c r="A71" s="36">
        <v>69</v>
      </c>
      <c r="B71" s="37">
        <v>44848</v>
      </c>
      <c r="C71" s="37">
        <v>44848</v>
      </c>
      <c r="D71" s="38" t="s">
        <v>734</v>
      </c>
      <c r="E71" s="38" t="s">
        <v>735</v>
      </c>
      <c r="F71" s="38" t="s">
        <v>736</v>
      </c>
      <c r="G71" s="86" t="str">
        <f t="shared" si="2"/>
        <v>NEED FORM</v>
      </c>
      <c r="H71" s="16">
        <v>6042963409</v>
      </c>
      <c r="J71" s="38" t="s">
        <v>737</v>
      </c>
      <c r="K71" s="38" t="s">
        <v>738</v>
      </c>
      <c r="L71" s="38" t="s">
        <v>739</v>
      </c>
      <c r="M71" s="38" t="s">
        <v>639</v>
      </c>
      <c r="N71" s="38">
        <v>5</v>
      </c>
      <c r="O71" s="38">
        <v>167.18</v>
      </c>
      <c r="P71" s="106">
        <f t="shared" si="3"/>
        <v>835.90000000000009</v>
      </c>
      <c r="R71" s="37">
        <v>44881</v>
      </c>
      <c r="S71" s="39">
        <v>40004</v>
      </c>
      <c r="T71" s="37">
        <v>44911</v>
      </c>
      <c r="U71" s="38">
        <v>5</v>
      </c>
      <c r="Y71" s="38" t="s">
        <v>747</v>
      </c>
    </row>
    <row r="72" spans="1:25" s="38" customFormat="1" x14ac:dyDescent="0.25">
      <c r="A72" s="36">
        <v>70</v>
      </c>
      <c r="B72" s="37">
        <v>44848</v>
      </c>
      <c r="C72" s="37">
        <v>44848</v>
      </c>
      <c r="D72" s="38" t="s">
        <v>734</v>
      </c>
      <c r="E72" s="38" t="s">
        <v>735</v>
      </c>
      <c r="F72" s="38" t="s">
        <v>736</v>
      </c>
      <c r="G72" s="86" t="str">
        <f t="shared" si="2"/>
        <v>NEED FORM</v>
      </c>
      <c r="H72" s="16">
        <v>6042963409</v>
      </c>
      <c r="J72" s="38" t="s">
        <v>737</v>
      </c>
      <c r="K72" s="38" t="s">
        <v>738</v>
      </c>
      <c r="L72" s="38" t="s">
        <v>739</v>
      </c>
      <c r="M72" s="38" t="s">
        <v>608</v>
      </c>
      <c r="N72" s="38">
        <v>5</v>
      </c>
      <c r="O72" s="38">
        <v>167.18</v>
      </c>
      <c r="P72" s="106">
        <f t="shared" si="3"/>
        <v>835.90000000000009</v>
      </c>
      <c r="R72" s="37">
        <v>44881</v>
      </c>
      <c r="S72" s="39">
        <v>40004</v>
      </c>
      <c r="T72" s="37">
        <v>44911</v>
      </c>
      <c r="U72" s="38">
        <v>5</v>
      </c>
      <c r="Y72" s="38" t="s">
        <v>747</v>
      </c>
    </row>
    <row r="73" spans="1:25" s="38" customFormat="1" x14ac:dyDescent="0.25">
      <c r="A73" s="36">
        <v>71</v>
      </c>
      <c r="B73" s="37">
        <v>44848</v>
      </c>
      <c r="C73" s="37">
        <v>44848</v>
      </c>
      <c r="D73" s="38" t="s">
        <v>734</v>
      </c>
      <c r="E73" s="38" t="s">
        <v>735</v>
      </c>
      <c r="F73" s="38" t="s">
        <v>736</v>
      </c>
      <c r="G73" s="86" t="str">
        <f t="shared" si="2"/>
        <v>NEED FORM</v>
      </c>
      <c r="H73" s="16">
        <v>6042963409</v>
      </c>
      <c r="J73" s="38" t="s">
        <v>737</v>
      </c>
      <c r="K73" s="38" t="s">
        <v>738</v>
      </c>
      <c r="L73" s="38" t="s">
        <v>739</v>
      </c>
      <c r="M73" s="38" t="s">
        <v>610</v>
      </c>
      <c r="N73" s="38">
        <v>70</v>
      </c>
      <c r="O73" s="38">
        <v>154.08000000000001</v>
      </c>
      <c r="P73" s="106">
        <f t="shared" si="3"/>
        <v>10825.6</v>
      </c>
      <c r="Q73" s="38">
        <v>40</v>
      </c>
      <c r="R73" s="37">
        <v>44881</v>
      </c>
      <c r="S73" s="39">
        <v>40004</v>
      </c>
      <c r="T73" s="37">
        <v>44911</v>
      </c>
      <c r="U73" s="38">
        <v>70</v>
      </c>
      <c r="Y73" s="38" t="s">
        <v>747</v>
      </c>
    </row>
    <row r="74" spans="1:25" s="38" customFormat="1" x14ac:dyDescent="0.25">
      <c r="A74" s="36">
        <v>72</v>
      </c>
      <c r="B74" s="37">
        <v>44852</v>
      </c>
      <c r="C74" s="37">
        <v>44852</v>
      </c>
      <c r="D74" s="38" t="s">
        <v>748</v>
      </c>
      <c r="E74" s="38" t="s">
        <v>749</v>
      </c>
      <c r="F74" s="38" t="s">
        <v>750</v>
      </c>
      <c r="G74" s="86" t="str">
        <f t="shared" si="2"/>
        <v>NEED FORM</v>
      </c>
      <c r="H74" s="16">
        <v>5102424512</v>
      </c>
      <c r="J74" s="38" t="s">
        <v>751</v>
      </c>
      <c r="K74" s="38" t="s">
        <v>280</v>
      </c>
      <c r="L74" s="38" t="s">
        <v>174</v>
      </c>
      <c r="M74" s="38" t="s">
        <v>610</v>
      </c>
      <c r="N74" s="38">
        <v>4</v>
      </c>
      <c r="O74" s="38">
        <v>177.74</v>
      </c>
      <c r="P74" s="106">
        <f t="shared" si="3"/>
        <v>916.25</v>
      </c>
      <c r="Q74" s="38">
        <v>205.29</v>
      </c>
      <c r="R74" s="37">
        <v>44861</v>
      </c>
      <c r="S74" s="39" t="s">
        <v>752</v>
      </c>
      <c r="T74" s="37">
        <v>44868</v>
      </c>
      <c r="U74" s="38">
        <v>4</v>
      </c>
    </row>
    <row r="75" spans="1:25" s="30" customFormat="1" x14ac:dyDescent="0.25">
      <c r="A75" s="28">
        <v>73</v>
      </c>
      <c r="B75" s="29">
        <v>44853</v>
      </c>
      <c r="C75" s="29">
        <v>44853</v>
      </c>
      <c r="D75" s="30" t="s">
        <v>171</v>
      </c>
      <c r="E75" s="30" t="s">
        <v>336</v>
      </c>
      <c r="F75" s="30" t="s">
        <v>753</v>
      </c>
      <c r="G75" s="80" t="str">
        <f t="shared" si="2"/>
        <v>NEED FORM</v>
      </c>
      <c r="H75" s="15">
        <v>7403766061</v>
      </c>
      <c r="J75" s="30" t="s">
        <v>754</v>
      </c>
      <c r="K75" s="30" t="s">
        <v>82</v>
      </c>
      <c r="L75" s="30" t="s">
        <v>197</v>
      </c>
      <c r="M75" s="30" t="s">
        <v>611</v>
      </c>
      <c r="N75" s="30">
        <v>2</v>
      </c>
      <c r="O75" s="30">
        <v>190.08</v>
      </c>
      <c r="P75" s="107">
        <f t="shared" si="3"/>
        <v>380.16</v>
      </c>
      <c r="R75" s="29"/>
      <c r="S75" s="31"/>
      <c r="T75" s="29"/>
    </row>
    <row r="76" spans="1:25" s="25" customFormat="1" ht="14.1" customHeight="1" x14ac:dyDescent="0.25">
      <c r="A76" s="23">
        <v>74</v>
      </c>
      <c r="B76" s="24">
        <v>44854</v>
      </c>
      <c r="C76" s="24">
        <v>44854</v>
      </c>
      <c r="D76" s="25" t="s">
        <v>528</v>
      </c>
      <c r="E76" s="25" t="s">
        <v>663</v>
      </c>
      <c r="F76" s="25" t="s">
        <v>713</v>
      </c>
      <c r="G76" s="79" t="str">
        <f t="shared" si="2"/>
        <v>Requested</v>
      </c>
      <c r="H76" s="14">
        <v>5754164103</v>
      </c>
      <c r="J76" s="25" t="s">
        <v>665</v>
      </c>
      <c r="K76" s="25" t="s">
        <v>755</v>
      </c>
      <c r="L76" s="25" t="s">
        <v>144</v>
      </c>
      <c r="M76" s="25" t="s">
        <v>611</v>
      </c>
      <c r="N76" s="25">
        <v>10</v>
      </c>
      <c r="O76" s="25">
        <v>181.44</v>
      </c>
      <c r="P76" s="106">
        <f t="shared" si="3"/>
        <v>1814.4</v>
      </c>
      <c r="R76" s="24">
        <v>44861</v>
      </c>
      <c r="S76" s="26" t="s">
        <v>756</v>
      </c>
      <c r="T76" s="24">
        <v>44883</v>
      </c>
      <c r="U76" s="25">
        <v>10</v>
      </c>
    </row>
    <row r="77" spans="1:25" s="25" customFormat="1" x14ac:dyDescent="0.25">
      <c r="A77" s="23">
        <v>75</v>
      </c>
      <c r="B77" s="24">
        <v>44865</v>
      </c>
      <c r="C77" s="24">
        <v>44865</v>
      </c>
      <c r="D77" s="25" t="s">
        <v>347</v>
      </c>
      <c r="E77" s="25" t="s">
        <v>396</v>
      </c>
      <c r="F77" s="25" t="s">
        <v>423</v>
      </c>
      <c r="G77" s="79" t="str">
        <f t="shared" si="2"/>
        <v>NEED FORM</v>
      </c>
      <c r="H77" s="14">
        <v>7139474641</v>
      </c>
      <c r="J77" s="19" t="s">
        <v>612</v>
      </c>
      <c r="K77" s="25" t="s">
        <v>505</v>
      </c>
      <c r="L77" s="25" t="s">
        <v>144</v>
      </c>
      <c r="M77" s="25" t="s">
        <v>610</v>
      </c>
      <c r="N77" s="25">
        <v>5</v>
      </c>
      <c r="O77" s="25">
        <v>167.18</v>
      </c>
      <c r="P77" s="106">
        <f t="shared" si="3"/>
        <v>835.90000000000009</v>
      </c>
      <c r="R77" s="24">
        <v>44865</v>
      </c>
      <c r="S77" s="26">
        <v>4350997</v>
      </c>
      <c r="T77" s="24">
        <v>44915</v>
      </c>
      <c r="U77" s="25">
        <v>5</v>
      </c>
    </row>
    <row r="78" spans="1:25" s="25" customFormat="1" x14ac:dyDescent="0.25">
      <c r="A78" s="23">
        <v>76</v>
      </c>
      <c r="B78" s="24">
        <v>44868</v>
      </c>
      <c r="C78" s="24">
        <v>44868</v>
      </c>
      <c r="D78" s="25" t="s">
        <v>175</v>
      </c>
      <c r="E78" s="25" t="s">
        <v>757</v>
      </c>
      <c r="F78" s="25" t="s">
        <v>758</v>
      </c>
      <c r="G78" s="79" t="str">
        <f t="shared" si="2"/>
        <v>NEED FORM</v>
      </c>
      <c r="H78" s="14">
        <v>4098429090</v>
      </c>
      <c r="J78" s="25" t="s">
        <v>759</v>
      </c>
      <c r="K78" s="25" t="s">
        <v>669</v>
      </c>
      <c r="L78" s="25" t="s">
        <v>144</v>
      </c>
      <c r="M78" s="25" t="s">
        <v>610</v>
      </c>
      <c r="N78" s="25">
        <v>8</v>
      </c>
      <c r="O78" s="25">
        <v>157.93</v>
      </c>
      <c r="P78" s="106">
        <f t="shared" si="3"/>
        <v>1263.44</v>
      </c>
      <c r="R78" s="24">
        <v>44869</v>
      </c>
      <c r="S78" s="26" t="s">
        <v>760</v>
      </c>
      <c r="T78" s="24">
        <v>44887</v>
      </c>
      <c r="U78" s="25">
        <v>8</v>
      </c>
      <c r="V78" s="25" t="s">
        <v>135</v>
      </c>
      <c r="Y78" s="25" t="s">
        <v>761</v>
      </c>
    </row>
    <row r="79" spans="1:25" s="25" customFormat="1" x14ac:dyDescent="0.25">
      <c r="A79" s="23">
        <v>77</v>
      </c>
      <c r="B79" s="24">
        <v>44875</v>
      </c>
      <c r="C79" s="24">
        <v>44875</v>
      </c>
      <c r="D79" s="25" t="s">
        <v>113</v>
      </c>
      <c r="E79" s="25" t="s">
        <v>762</v>
      </c>
      <c r="F79" s="25" t="s">
        <v>763</v>
      </c>
      <c r="G79" s="79">
        <f t="shared" si="2"/>
        <v>45384</v>
      </c>
      <c r="H79" s="14">
        <v>4402348566</v>
      </c>
      <c r="I79" s="25" t="s">
        <v>764</v>
      </c>
      <c r="J79" s="25" t="s">
        <v>765</v>
      </c>
      <c r="K79" s="25" t="s">
        <v>200</v>
      </c>
      <c r="L79" s="25" t="s">
        <v>766</v>
      </c>
      <c r="M79" s="25" t="s">
        <v>610</v>
      </c>
      <c r="N79" s="25">
        <v>2</v>
      </c>
      <c r="O79" s="25">
        <v>171.07</v>
      </c>
      <c r="P79" s="106">
        <f t="shared" si="3"/>
        <v>342.14</v>
      </c>
      <c r="R79" s="24">
        <v>44876</v>
      </c>
      <c r="S79" s="26">
        <v>274130</v>
      </c>
      <c r="T79" s="24">
        <v>44908</v>
      </c>
      <c r="U79" s="25">
        <v>2</v>
      </c>
    </row>
    <row r="80" spans="1:25" s="25" customFormat="1" x14ac:dyDescent="0.25">
      <c r="A80" s="23">
        <v>77</v>
      </c>
      <c r="B80" s="24">
        <v>44875</v>
      </c>
      <c r="C80" s="24">
        <v>44875</v>
      </c>
      <c r="D80" s="25" t="s">
        <v>113</v>
      </c>
      <c r="E80" s="25" t="s">
        <v>762</v>
      </c>
      <c r="F80" s="25" t="s">
        <v>763</v>
      </c>
      <c r="G80" s="79">
        <f t="shared" si="2"/>
        <v>45384</v>
      </c>
      <c r="H80" s="14">
        <v>4402348566</v>
      </c>
      <c r="I80" s="25" t="s">
        <v>764</v>
      </c>
      <c r="J80" s="25" t="s">
        <v>765</v>
      </c>
      <c r="K80" s="25" t="s">
        <v>200</v>
      </c>
      <c r="L80" s="25" t="s">
        <v>766</v>
      </c>
      <c r="M80" s="25" t="s">
        <v>611</v>
      </c>
      <c r="N80" s="25">
        <v>2</v>
      </c>
      <c r="O80" s="25">
        <v>190.09</v>
      </c>
      <c r="P80" s="106">
        <f t="shared" si="3"/>
        <v>380.18</v>
      </c>
      <c r="R80" s="24">
        <v>44876</v>
      </c>
      <c r="S80" s="26">
        <v>274130</v>
      </c>
      <c r="T80" s="24">
        <v>44908</v>
      </c>
      <c r="U80" s="25">
        <v>2</v>
      </c>
    </row>
    <row r="81" spans="1:25" s="30" customFormat="1" x14ac:dyDescent="0.25">
      <c r="A81" s="28">
        <v>78</v>
      </c>
      <c r="B81" s="29">
        <v>44876</v>
      </c>
      <c r="C81" s="29">
        <v>44876</v>
      </c>
      <c r="D81" s="30" t="s">
        <v>305</v>
      </c>
      <c r="E81" s="30" t="s">
        <v>767</v>
      </c>
      <c r="F81" s="30" t="s">
        <v>667</v>
      </c>
      <c r="G81" s="80">
        <f t="shared" si="2"/>
        <v>45310</v>
      </c>
      <c r="H81" s="15" t="s">
        <v>768</v>
      </c>
      <c r="J81" s="35" t="s">
        <v>769</v>
      </c>
      <c r="M81" s="30" t="s">
        <v>610</v>
      </c>
      <c r="N81" s="30">
        <v>2</v>
      </c>
      <c r="O81" s="30">
        <v>171.07</v>
      </c>
      <c r="P81" s="108">
        <f t="shared" si="3"/>
        <v>342.16999999999996</v>
      </c>
      <c r="Q81" s="46">
        <v>0.03</v>
      </c>
      <c r="R81" s="29"/>
      <c r="S81" s="31" t="s">
        <v>733</v>
      </c>
      <c r="T81" s="29">
        <v>44876</v>
      </c>
      <c r="U81" s="30">
        <v>2</v>
      </c>
      <c r="Y81" s="30" t="s">
        <v>671</v>
      </c>
    </row>
    <row r="82" spans="1:25" s="30" customFormat="1" x14ac:dyDescent="0.25">
      <c r="A82" s="28">
        <v>79</v>
      </c>
      <c r="B82" s="29">
        <v>44876</v>
      </c>
      <c r="C82" s="29">
        <v>44876</v>
      </c>
      <c r="D82" s="30" t="s">
        <v>770</v>
      </c>
      <c r="E82" s="30" t="s">
        <v>771</v>
      </c>
      <c r="F82" s="30" t="s">
        <v>772</v>
      </c>
      <c r="G82" s="80" t="str">
        <f t="shared" si="2"/>
        <v>NEED FORM</v>
      </c>
      <c r="H82" s="15" t="s">
        <v>773</v>
      </c>
      <c r="J82" s="30" t="s">
        <v>774</v>
      </c>
      <c r="K82" s="30" t="s">
        <v>775</v>
      </c>
      <c r="L82" s="30" t="s">
        <v>83</v>
      </c>
      <c r="M82" s="30" t="s">
        <v>776</v>
      </c>
      <c r="N82" s="30">
        <v>11</v>
      </c>
      <c r="O82" s="30">
        <v>181.44</v>
      </c>
      <c r="P82" s="107">
        <f t="shared" si="3"/>
        <v>1995.84</v>
      </c>
      <c r="R82" s="29"/>
      <c r="S82" s="31"/>
      <c r="T82" s="29"/>
    </row>
    <row r="83" spans="1:25" s="25" customFormat="1" x14ac:dyDescent="0.25">
      <c r="A83" s="23">
        <v>80</v>
      </c>
      <c r="B83" s="24">
        <v>44879</v>
      </c>
      <c r="C83" s="24">
        <v>44879</v>
      </c>
      <c r="D83" s="25" t="s">
        <v>187</v>
      </c>
      <c r="E83" s="25" t="s">
        <v>689</v>
      </c>
      <c r="F83" s="25" t="s">
        <v>690</v>
      </c>
      <c r="G83" s="79" t="str">
        <f t="shared" si="2"/>
        <v>NEED FORM</v>
      </c>
      <c r="H83" s="14" t="s">
        <v>777</v>
      </c>
      <c r="J83" s="19" t="s">
        <v>691</v>
      </c>
      <c r="K83" s="25" t="s">
        <v>778</v>
      </c>
      <c r="L83" s="25" t="s">
        <v>144</v>
      </c>
      <c r="M83" s="25" t="s">
        <v>610</v>
      </c>
      <c r="N83" s="25">
        <v>20</v>
      </c>
      <c r="O83" s="25">
        <v>163.30000000000001</v>
      </c>
      <c r="P83" s="106">
        <f t="shared" si="3"/>
        <v>3266</v>
      </c>
      <c r="R83" s="24">
        <v>44880</v>
      </c>
      <c r="S83" s="26" t="s">
        <v>779</v>
      </c>
      <c r="T83" s="24">
        <v>44910</v>
      </c>
      <c r="U83" s="25">
        <v>20</v>
      </c>
    </row>
    <row r="84" spans="1:25" s="25" customFormat="1" x14ac:dyDescent="0.25">
      <c r="A84" s="23">
        <v>81</v>
      </c>
      <c r="B84" s="24">
        <v>44879</v>
      </c>
      <c r="C84" s="24">
        <v>44879</v>
      </c>
      <c r="D84" s="25" t="s">
        <v>187</v>
      </c>
      <c r="E84" s="25" t="s">
        <v>689</v>
      </c>
      <c r="F84" s="25" t="s">
        <v>690</v>
      </c>
      <c r="G84" s="79" t="str">
        <f t="shared" si="2"/>
        <v>NEED FORM</v>
      </c>
      <c r="H84" s="14" t="s">
        <v>777</v>
      </c>
      <c r="J84" s="25" t="s">
        <v>691</v>
      </c>
      <c r="K84" s="25" t="s">
        <v>778</v>
      </c>
      <c r="L84" s="25" t="s">
        <v>144</v>
      </c>
      <c r="M84" s="25" t="s">
        <v>611</v>
      </c>
      <c r="N84" s="25">
        <v>5</v>
      </c>
      <c r="O84" s="25">
        <v>185.76</v>
      </c>
      <c r="P84" s="106">
        <f t="shared" si="3"/>
        <v>928.8</v>
      </c>
      <c r="R84" s="24">
        <v>44880</v>
      </c>
      <c r="S84" s="26" t="s">
        <v>779</v>
      </c>
      <c r="T84" s="24">
        <v>44910</v>
      </c>
      <c r="U84" s="25">
        <v>5</v>
      </c>
    </row>
    <row r="85" spans="1:25" s="25" customFormat="1" x14ac:dyDescent="0.25">
      <c r="A85" s="23">
        <v>82</v>
      </c>
      <c r="B85" s="24">
        <v>44865</v>
      </c>
      <c r="C85" s="24">
        <v>44865</v>
      </c>
      <c r="D85" s="25" t="s">
        <v>347</v>
      </c>
      <c r="E85" s="25" t="s">
        <v>396</v>
      </c>
      <c r="F85" s="25" t="s">
        <v>423</v>
      </c>
      <c r="G85" s="79" t="str">
        <f t="shared" si="2"/>
        <v>NEED FORM</v>
      </c>
      <c r="H85" s="14">
        <v>7139474641</v>
      </c>
      <c r="J85" s="19" t="s">
        <v>612</v>
      </c>
      <c r="K85" s="25" t="s">
        <v>505</v>
      </c>
      <c r="L85" s="25" t="s">
        <v>144</v>
      </c>
      <c r="M85" s="25" t="s">
        <v>610</v>
      </c>
      <c r="N85" s="25">
        <v>10</v>
      </c>
      <c r="O85" s="25">
        <v>163.30000000000001</v>
      </c>
      <c r="P85" s="106">
        <f t="shared" si="3"/>
        <v>1633</v>
      </c>
      <c r="R85" s="24">
        <v>44880</v>
      </c>
      <c r="S85" s="26">
        <v>4355508</v>
      </c>
      <c r="T85" s="24">
        <v>44928</v>
      </c>
      <c r="U85" s="25">
        <v>10</v>
      </c>
    </row>
    <row r="86" spans="1:25" s="30" customFormat="1" x14ac:dyDescent="0.25">
      <c r="A86" s="28">
        <v>83</v>
      </c>
      <c r="B86" s="29">
        <v>44893</v>
      </c>
      <c r="C86" s="29">
        <v>44893</v>
      </c>
      <c r="D86" s="30" t="s">
        <v>186</v>
      </c>
      <c r="E86" s="30" t="s">
        <v>228</v>
      </c>
      <c r="F86" s="30" t="s">
        <v>780</v>
      </c>
      <c r="G86" s="80" t="str">
        <f t="shared" si="2"/>
        <v>NEED FORM</v>
      </c>
      <c r="H86" s="15" t="s">
        <v>781</v>
      </c>
      <c r="J86" s="30" t="s">
        <v>782</v>
      </c>
      <c r="M86" s="30" t="s">
        <v>783</v>
      </c>
      <c r="N86" s="30">
        <v>3</v>
      </c>
      <c r="O86" s="30">
        <v>171.07</v>
      </c>
      <c r="P86" s="107">
        <f t="shared" si="3"/>
        <v>513.21</v>
      </c>
      <c r="R86" s="29"/>
      <c r="S86" s="31"/>
      <c r="T86" s="29"/>
    </row>
    <row r="87" spans="1:25" s="25" customFormat="1" x14ac:dyDescent="0.25">
      <c r="A87" s="23">
        <v>84</v>
      </c>
      <c r="B87" s="24">
        <v>44896</v>
      </c>
      <c r="C87" s="24">
        <v>44792</v>
      </c>
      <c r="D87" s="25" t="s">
        <v>666</v>
      </c>
      <c r="E87" s="25" t="s">
        <v>484</v>
      </c>
      <c r="F87" s="25" t="s">
        <v>667</v>
      </c>
      <c r="G87" s="79">
        <f t="shared" si="2"/>
        <v>45310</v>
      </c>
      <c r="H87" s="14">
        <v>4092423351</v>
      </c>
      <c r="J87" s="19" t="s">
        <v>668</v>
      </c>
      <c r="K87" s="25" t="s">
        <v>669</v>
      </c>
      <c r="L87" s="25" t="s">
        <v>144</v>
      </c>
      <c r="M87" s="25" t="s">
        <v>608</v>
      </c>
      <c r="N87" s="25">
        <v>3</v>
      </c>
      <c r="O87" s="25">
        <v>176.36</v>
      </c>
      <c r="P87" s="106">
        <f t="shared" si="3"/>
        <v>529.11</v>
      </c>
      <c r="Q87" s="32">
        <v>0.03</v>
      </c>
      <c r="R87" s="24">
        <v>44896</v>
      </c>
      <c r="S87" s="26" t="s">
        <v>670</v>
      </c>
      <c r="T87" s="24">
        <v>44931</v>
      </c>
      <c r="U87" s="25">
        <v>3</v>
      </c>
      <c r="Y87" s="25" t="s">
        <v>671</v>
      </c>
    </row>
    <row r="88" spans="1:25" s="25" customFormat="1" x14ac:dyDescent="0.25">
      <c r="A88" s="23">
        <v>85</v>
      </c>
      <c r="B88" s="24">
        <v>44901</v>
      </c>
      <c r="C88" s="24">
        <v>44901</v>
      </c>
      <c r="D88" s="25" t="s">
        <v>476</v>
      </c>
      <c r="E88" s="25" t="s">
        <v>784</v>
      </c>
      <c r="F88" s="25" t="s">
        <v>631</v>
      </c>
      <c r="G88" s="79">
        <f t="shared" si="2"/>
        <v>44927</v>
      </c>
      <c r="H88" s="14">
        <v>4323336181</v>
      </c>
      <c r="J88" s="19" t="s">
        <v>785</v>
      </c>
      <c r="K88" s="25" t="s">
        <v>633</v>
      </c>
      <c r="L88" s="25" t="s">
        <v>144</v>
      </c>
      <c r="M88" s="25" t="s">
        <v>610</v>
      </c>
      <c r="N88" s="25">
        <v>50</v>
      </c>
      <c r="O88" s="25">
        <v>181.44</v>
      </c>
      <c r="P88" s="106">
        <f t="shared" si="3"/>
        <v>9072</v>
      </c>
      <c r="R88" s="24">
        <v>44901</v>
      </c>
      <c r="S88" s="26" t="s">
        <v>786</v>
      </c>
      <c r="T88" s="24">
        <v>44937</v>
      </c>
      <c r="U88" s="25">
        <v>50</v>
      </c>
    </row>
    <row r="89" spans="1:25" s="30" customFormat="1" x14ac:dyDescent="0.25">
      <c r="A89" s="28">
        <v>86</v>
      </c>
      <c r="B89" s="29">
        <v>44902</v>
      </c>
      <c r="C89" s="29">
        <v>44902</v>
      </c>
      <c r="D89" s="30" t="s">
        <v>384</v>
      </c>
      <c r="E89" s="30" t="s">
        <v>787</v>
      </c>
      <c r="F89" s="30" t="s">
        <v>788</v>
      </c>
      <c r="G89" s="80">
        <f t="shared" si="2"/>
        <v>45597</v>
      </c>
      <c r="H89" s="15">
        <v>7579512133</v>
      </c>
      <c r="J89" s="30" t="s">
        <v>789</v>
      </c>
      <c r="K89" s="30" t="s">
        <v>790</v>
      </c>
      <c r="L89" s="30" t="s">
        <v>416</v>
      </c>
      <c r="M89" s="30" t="s">
        <v>723</v>
      </c>
      <c r="N89" s="30">
        <v>140</v>
      </c>
      <c r="O89" s="30">
        <v>162.63999999999999</v>
      </c>
      <c r="P89" s="107">
        <f t="shared" si="3"/>
        <v>22769.599999999999</v>
      </c>
      <c r="R89" s="29"/>
      <c r="S89" s="31"/>
      <c r="T89" s="29"/>
    </row>
    <row r="90" spans="1:25" s="25" customFormat="1" x14ac:dyDescent="0.25">
      <c r="A90" s="23">
        <v>87</v>
      </c>
      <c r="B90" s="24">
        <v>44902</v>
      </c>
      <c r="C90" s="24">
        <v>44902</v>
      </c>
      <c r="D90" s="25" t="s">
        <v>482</v>
      </c>
      <c r="E90" s="25" t="s">
        <v>235</v>
      </c>
      <c r="F90" s="25" t="s">
        <v>791</v>
      </c>
      <c r="G90" s="79" t="str">
        <f t="shared" si="2"/>
        <v>NEED FORM</v>
      </c>
      <c r="H90" s="14">
        <v>9167863900</v>
      </c>
      <c r="J90" s="47" t="s">
        <v>792</v>
      </c>
      <c r="K90" s="25" t="s">
        <v>793</v>
      </c>
      <c r="L90" s="25" t="s">
        <v>174</v>
      </c>
      <c r="M90" s="25" t="s">
        <v>794</v>
      </c>
      <c r="N90" s="115">
        <v>6</v>
      </c>
      <c r="O90" s="25">
        <v>124.09</v>
      </c>
      <c r="P90" s="106">
        <f t="shared" si="3"/>
        <v>744.54</v>
      </c>
      <c r="R90" s="24">
        <v>44911</v>
      </c>
      <c r="S90" s="26">
        <v>4054987</v>
      </c>
      <c r="T90" s="24">
        <v>44950</v>
      </c>
      <c r="U90" s="25">
        <v>6</v>
      </c>
    </row>
    <row r="91" spans="1:25" s="25" customFormat="1" x14ac:dyDescent="0.25">
      <c r="A91" s="23">
        <v>88</v>
      </c>
      <c r="B91" s="24">
        <v>44903</v>
      </c>
      <c r="C91" s="24">
        <v>44792</v>
      </c>
      <c r="D91" s="25" t="s">
        <v>666</v>
      </c>
      <c r="E91" s="25" t="s">
        <v>484</v>
      </c>
      <c r="F91" s="25" t="s">
        <v>667</v>
      </c>
      <c r="G91" s="79">
        <f t="shared" si="2"/>
        <v>45310</v>
      </c>
      <c r="H91" s="14">
        <v>4092423351</v>
      </c>
      <c r="J91" s="19" t="s">
        <v>668</v>
      </c>
      <c r="K91" s="25" t="s">
        <v>669</v>
      </c>
      <c r="L91" s="25" t="s">
        <v>144</v>
      </c>
      <c r="M91" s="25" t="s">
        <v>608</v>
      </c>
      <c r="N91" s="25">
        <v>2</v>
      </c>
      <c r="O91" s="25">
        <v>176.36</v>
      </c>
      <c r="P91" s="106">
        <f t="shared" si="3"/>
        <v>352.75</v>
      </c>
      <c r="Q91" s="32">
        <v>0.03</v>
      </c>
      <c r="R91" s="24">
        <v>44903</v>
      </c>
      <c r="S91" s="26" t="s">
        <v>795</v>
      </c>
      <c r="T91" s="24">
        <v>44938</v>
      </c>
      <c r="U91" s="25">
        <v>2</v>
      </c>
      <c r="Y91" s="25" t="s">
        <v>671</v>
      </c>
    </row>
    <row r="92" spans="1:25" s="25" customFormat="1" x14ac:dyDescent="0.25">
      <c r="A92" s="23">
        <v>89</v>
      </c>
      <c r="B92" s="24">
        <v>44907</v>
      </c>
      <c r="C92" s="24">
        <v>44907</v>
      </c>
      <c r="D92" s="25" t="s">
        <v>627</v>
      </c>
      <c r="E92" s="25" t="s">
        <v>414</v>
      </c>
      <c r="F92" s="25" t="s">
        <v>628</v>
      </c>
      <c r="G92" s="79">
        <f t="shared" si="2"/>
        <v>44562</v>
      </c>
      <c r="H92" s="14">
        <v>2485822379</v>
      </c>
      <c r="J92" s="19" t="s">
        <v>629</v>
      </c>
      <c r="K92" s="25" t="s">
        <v>633</v>
      </c>
      <c r="L92" s="25" t="s">
        <v>144</v>
      </c>
      <c r="M92" s="25" t="s">
        <v>610</v>
      </c>
      <c r="N92" s="25">
        <v>30</v>
      </c>
      <c r="O92" s="25">
        <v>171.07</v>
      </c>
      <c r="P92" s="106">
        <f t="shared" si="3"/>
        <v>5286.0599999999995</v>
      </c>
      <c r="Q92" s="25">
        <v>153.96</v>
      </c>
      <c r="R92" s="24">
        <v>44907</v>
      </c>
      <c r="S92" s="26" t="s">
        <v>796</v>
      </c>
      <c r="T92" s="24">
        <v>44943</v>
      </c>
      <c r="U92" s="25">
        <v>30</v>
      </c>
      <c r="Y92" s="25" t="s">
        <v>693</v>
      </c>
    </row>
    <row r="93" spans="1:25" s="30" customFormat="1" x14ac:dyDescent="0.25">
      <c r="A93" s="28">
        <v>90</v>
      </c>
      <c r="B93" s="29">
        <v>44909</v>
      </c>
      <c r="C93" s="29">
        <v>44909</v>
      </c>
      <c r="D93" s="30" t="s">
        <v>797</v>
      </c>
      <c r="E93" s="30" t="s">
        <v>94</v>
      </c>
      <c r="F93" s="30" t="s">
        <v>798</v>
      </c>
      <c r="G93" s="80" t="str">
        <f t="shared" si="2"/>
        <v>NEED FORM</v>
      </c>
      <c r="H93" s="15" t="s">
        <v>799</v>
      </c>
      <c r="J93" s="30" t="s">
        <v>800</v>
      </c>
      <c r="K93" s="30" t="s">
        <v>801</v>
      </c>
      <c r="L93" s="30" t="s">
        <v>306</v>
      </c>
      <c r="M93" s="30" t="s">
        <v>610</v>
      </c>
      <c r="N93" s="30">
        <v>8</v>
      </c>
      <c r="O93" s="30">
        <v>167.18</v>
      </c>
      <c r="P93" s="107">
        <f t="shared" si="3"/>
        <v>1337.44</v>
      </c>
      <c r="R93" s="29">
        <v>44909</v>
      </c>
      <c r="S93" s="31"/>
      <c r="T93" s="29"/>
    </row>
    <row r="94" spans="1:25" s="25" customFormat="1" x14ac:dyDescent="0.25">
      <c r="A94" s="23">
        <v>91</v>
      </c>
      <c r="B94" s="24">
        <v>44903</v>
      </c>
      <c r="C94" s="24">
        <v>44792</v>
      </c>
      <c r="D94" s="25" t="s">
        <v>666</v>
      </c>
      <c r="E94" s="25" t="s">
        <v>484</v>
      </c>
      <c r="F94" s="25" t="s">
        <v>667</v>
      </c>
      <c r="G94" s="79">
        <f t="shared" si="2"/>
        <v>45310</v>
      </c>
      <c r="H94" s="14">
        <v>4092423351</v>
      </c>
      <c r="J94" s="19" t="s">
        <v>668</v>
      </c>
      <c r="K94" s="25" t="s">
        <v>669</v>
      </c>
      <c r="L94" s="25" t="s">
        <v>144</v>
      </c>
      <c r="M94" s="25" t="s">
        <v>608</v>
      </c>
      <c r="N94" s="25">
        <v>2</v>
      </c>
      <c r="O94" s="25">
        <v>176.36</v>
      </c>
      <c r="P94" s="106">
        <f t="shared" si="3"/>
        <v>352.75</v>
      </c>
      <c r="Q94" s="32">
        <v>0.03</v>
      </c>
      <c r="R94" s="24">
        <v>44903</v>
      </c>
      <c r="S94" s="26" t="s">
        <v>802</v>
      </c>
      <c r="T94" s="24">
        <v>44951</v>
      </c>
      <c r="U94" s="25">
        <v>2</v>
      </c>
      <c r="V94" s="25" t="s">
        <v>803</v>
      </c>
      <c r="Y94" s="25" t="s">
        <v>671</v>
      </c>
    </row>
    <row r="95" spans="1:25" s="30" customFormat="1" x14ac:dyDescent="0.25">
      <c r="A95" s="28">
        <v>92</v>
      </c>
      <c r="B95" s="29">
        <v>44915</v>
      </c>
      <c r="C95" s="29">
        <v>44915</v>
      </c>
      <c r="D95" s="30" t="s">
        <v>804</v>
      </c>
      <c r="E95" s="30" t="s">
        <v>805</v>
      </c>
      <c r="F95" s="30" t="s">
        <v>806</v>
      </c>
      <c r="G95" s="80">
        <f t="shared" si="2"/>
        <v>45425</v>
      </c>
      <c r="H95" s="15">
        <v>2257732209</v>
      </c>
      <c r="J95" s="30" t="s">
        <v>807</v>
      </c>
      <c r="K95" s="30" t="s">
        <v>649</v>
      </c>
      <c r="L95" s="30" t="s">
        <v>650</v>
      </c>
      <c r="M95" s="30" t="s">
        <v>610</v>
      </c>
      <c r="N95" s="30">
        <v>2</v>
      </c>
      <c r="O95" s="30">
        <v>171.07</v>
      </c>
      <c r="P95" s="107">
        <f t="shared" si="3"/>
        <v>342.14</v>
      </c>
      <c r="R95" s="29"/>
      <c r="S95" s="31"/>
      <c r="T95" s="29"/>
    </row>
    <row r="96" spans="1:25" s="25" customFormat="1" x14ac:dyDescent="0.25">
      <c r="A96" s="23">
        <v>93</v>
      </c>
      <c r="B96" s="24">
        <v>44917</v>
      </c>
      <c r="C96" s="24">
        <v>44917</v>
      </c>
      <c r="D96" s="25" t="s">
        <v>808</v>
      </c>
      <c r="E96" s="25" t="s">
        <v>809</v>
      </c>
      <c r="F96" s="25" t="s">
        <v>810</v>
      </c>
      <c r="G96" s="79" t="str">
        <f t="shared" si="2"/>
        <v>NEED FORM</v>
      </c>
      <c r="H96" s="14" t="s">
        <v>811</v>
      </c>
      <c r="I96" s="25">
        <v>228</v>
      </c>
      <c r="J96" s="25" t="s">
        <v>812</v>
      </c>
      <c r="K96" s="25" t="s">
        <v>813</v>
      </c>
      <c r="L96" s="25" t="s">
        <v>232</v>
      </c>
      <c r="M96" s="25" t="s">
        <v>625</v>
      </c>
      <c r="N96" s="25">
        <v>2</v>
      </c>
      <c r="O96" s="25">
        <v>171.07</v>
      </c>
      <c r="P96" s="106">
        <f t="shared" si="3"/>
        <v>342.14</v>
      </c>
      <c r="R96" s="24">
        <v>44984</v>
      </c>
      <c r="S96" s="26">
        <v>521833</v>
      </c>
      <c r="T96" s="24">
        <v>45009</v>
      </c>
      <c r="U96" s="25">
        <v>2</v>
      </c>
      <c r="V96" s="25" t="s">
        <v>683</v>
      </c>
      <c r="Y96" s="25" t="s">
        <v>814</v>
      </c>
    </row>
    <row r="97" spans="1:25" s="25" customFormat="1" x14ac:dyDescent="0.25">
      <c r="A97" s="23">
        <v>95</v>
      </c>
      <c r="B97" s="24">
        <v>44928</v>
      </c>
      <c r="C97" s="24">
        <v>44928</v>
      </c>
      <c r="D97" s="25" t="s">
        <v>145</v>
      </c>
      <c r="E97" s="25" t="s">
        <v>815</v>
      </c>
      <c r="F97" s="25" t="s">
        <v>816</v>
      </c>
      <c r="G97" s="79">
        <f t="shared" si="2"/>
        <v>44562</v>
      </c>
      <c r="H97" s="14" t="s">
        <v>817</v>
      </c>
      <c r="J97" s="25" t="s">
        <v>818</v>
      </c>
      <c r="K97" s="25" t="s">
        <v>819</v>
      </c>
      <c r="L97" s="25" t="s">
        <v>306</v>
      </c>
      <c r="M97" s="25" t="s">
        <v>639</v>
      </c>
      <c r="N97" s="25">
        <v>7</v>
      </c>
      <c r="O97" s="25">
        <v>176</v>
      </c>
      <c r="P97" s="106">
        <f t="shared" si="3"/>
        <v>1232.03</v>
      </c>
      <c r="Q97" s="32">
        <v>0.03</v>
      </c>
      <c r="R97" s="24">
        <v>44936</v>
      </c>
      <c r="S97" s="26" t="s">
        <v>820</v>
      </c>
      <c r="T97" s="24">
        <v>44964</v>
      </c>
      <c r="U97" s="25">
        <v>7</v>
      </c>
    </row>
    <row r="98" spans="1:25" s="25" customFormat="1" x14ac:dyDescent="0.25">
      <c r="A98" s="23">
        <v>96</v>
      </c>
      <c r="B98" s="24">
        <v>44935</v>
      </c>
      <c r="C98" s="24">
        <v>44935</v>
      </c>
      <c r="D98" s="25" t="s">
        <v>413</v>
      </c>
      <c r="E98" s="25" t="s">
        <v>312</v>
      </c>
      <c r="F98" s="25" t="s">
        <v>821</v>
      </c>
      <c r="G98" s="79" t="str">
        <f t="shared" si="2"/>
        <v>NEED FORM</v>
      </c>
      <c r="H98" s="14">
        <v>2532799485</v>
      </c>
      <c r="J98" s="25" t="s">
        <v>822</v>
      </c>
      <c r="M98" s="25" t="s">
        <v>732</v>
      </c>
      <c r="N98" s="25">
        <v>3</v>
      </c>
      <c r="O98" s="25">
        <v>195.78</v>
      </c>
      <c r="P98" s="106">
        <f t="shared" si="3"/>
        <v>587.34</v>
      </c>
      <c r="R98" s="24">
        <v>44936</v>
      </c>
      <c r="S98" s="26" t="s">
        <v>823</v>
      </c>
      <c r="T98" s="24">
        <v>44964</v>
      </c>
      <c r="U98" s="25">
        <v>3</v>
      </c>
    </row>
    <row r="99" spans="1:25" s="25" customFormat="1" x14ac:dyDescent="0.25">
      <c r="A99" s="23">
        <v>97</v>
      </c>
      <c r="B99" s="24">
        <v>44935</v>
      </c>
      <c r="C99" s="24">
        <v>44935</v>
      </c>
      <c r="D99" s="25" t="s">
        <v>413</v>
      </c>
      <c r="E99" s="25" t="s">
        <v>312</v>
      </c>
      <c r="F99" s="25" t="s">
        <v>821</v>
      </c>
      <c r="G99" s="79" t="str">
        <f t="shared" si="2"/>
        <v>NEED FORM</v>
      </c>
      <c r="H99" s="14">
        <v>2532799485</v>
      </c>
      <c r="J99" s="25" t="s">
        <v>822</v>
      </c>
      <c r="M99" s="25" t="s">
        <v>610</v>
      </c>
      <c r="N99" s="25">
        <v>3</v>
      </c>
      <c r="O99" s="25">
        <v>176.2</v>
      </c>
      <c r="P99" s="106">
        <f t="shared" si="3"/>
        <v>528.59999999999991</v>
      </c>
      <c r="R99" s="24">
        <v>44936</v>
      </c>
      <c r="S99" s="26" t="s">
        <v>823</v>
      </c>
      <c r="T99" s="24">
        <v>44964</v>
      </c>
      <c r="U99" s="25">
        <v>3</v>
      </c>
    </row>
    <row r="100" spans="1:25" s="25" customFormat="1" ht="15.75" x14ac:dyDescent="0.25">
      <c r="A100" s="23">
        <v>98</v>
      </c>
      <c r="B100" s="24">
        <v>44936</v>
      </c>
      <c r="C100" s="24">
        <v>44936</v>
      </c>
      <c r="D100" s="25" t="s">
        <v>389</v>
      </c>
      <c r="E100" s="25" t="s">
        <v>442</v>
      </c>
      <c r="F100" s="48" t="s">
        <v>824</v>
      </c>
      <c r="G100" s="89" t="str">
        <f t="shared" si="2"/>
        <v>NEED FORM</v>
      </c>
      <c r="H100" s="14">
        <v>886928696007</v>
      </c>
      <c r="J100" s="19" t="s">
        <v>825</v>
      </c>
      <c r="K100" s="49" t="s">
        <v>826</v>
      </c>
      <c r="L100" s="49" t="s">
        <v>827</v>
      </c>
      <c r="M100" s="25" t="s">
        <v>625</v>
      </c>
      <c r="N100" s="25">
        <v>8</v>
      </c>
      <c r="O100" s="25">
        <v>167.18</v>
      </c>
      <c r="P100" s="106">
        <f t="shared" si="3"/>
        <v>1377.44</v>
      </c>
      <c r="Q100" s="25">
        <v>40</v>
      </c>
      <c r="R100" s="24">
        <v>44937</v>
      </c>
      <c r="S100" s="26" t="s">
        <v>828</v>
      </c>
      <c r="T100" s="24">
        <v>44960</v>
      </c>
      <c r="U100" s="25">
        <v>8</v>
      </c>
      <c r="Y100" s="25" t="s">
        <v>829</v>
      </c>
    </row>
    <row r="101" spans="1:25" s="25" customFormat="1" ht="15.75" x14ac:dyDescent="0.25">
      <c r="A101" s="23">
        <v>99</v>
      </c>
      <c r="B101" s="24">
        <v>44936</v>
      </c>
      <c r="C101" s="24">
        <v>44936</v>
      </c>
      <c r="D101" s="25" t="s">
        <v>389</v>
      </c>
      <c r="E101" s="25" t="s">
        <v>442</v>
      </c>
      <c r="F101" s="48" t="s">
        <v>824</v>
      </c>
      <c r="G101" s="89" t="str">
        <f t="shared" si="2"/>
        <v>NEED FORM</v>
      </c>
      <c r="H101" s="14">
        <v>886928696007</v>
      </c>
      <c r="J101" s="19" t="s">
        <v>825</v>
      </c>
      <c r="K101" s="49" t="s">
        <v>826</v>
      </c>
      <c r="L101" s="49" t="s">
        <v>827</v>
      </c>
      <c r="M101" s="25" t="s">
        <v>626</v>
      </c>
      <c r="N101" s="25">
        <v>6</v>
      </c>
      <c r="O101" s="25">
        <v>167.18</v>
      </c>
      <c r="P101" s="106">
        <f t="shared" si="3"/>
        <v>1003.08</v>
      </c>
      <c r="R101" s="24">
        <v>44937</v>
      </c>
      <c r="S101" s="26" t="s">
        <v>830</v>
      </c>
      <c r="T101" s="24">
        <v>44960</v>
      </c>
      <c r="U101" s="25">
        <v>6</v>
      </c>
    </row>
    <row r="102" spans="1:25" s="25" customFormat="1" ht="15.75" x14ac:dyDescent="0.25">
      <c r="A102" s="23">
        <v>100</v>
      </c>
      <c r="B102" s="24">
        <v>44936</v>
      </c>
      <c r="C102" s="24">
        <v>44936</v>
      </c>
      <c r="D102" s="25" t="s">
        <v>389</v>
      </c>
      <c r="E102" s="25" t="s">
        <v>442</v>
      </c>
      <c r="F102" s="48" t="s">
        <v>824</v>
      </c>
      <c r="G102" s="89" t="str">
        <f t="shared" si="2"/>
        <v>NEED FORM</v>
      </c>
      <c r="H102" s="14">
        <v>886928696007</v>
      </c>
      <c r="J102" s="19" t="s">
        <v>825</v>
      </c>
      <c r="K102" s="49" t="s">
        <v>826</v>
      </c>
      <c r="L102" s="49" t="s">
        <v>827</v>
      </c>
      <c r="M102" s="25" t="s">
        <v>732</v>
      </c>
      <c r="N102" s="25">
        <v>4</v>
      </c>
      <c r="O102" s="25">
        <v>190.08</v>
      </c>
      <c r="P102" s="106">
        <f t="shared" si="3"/>
        <v>760.32</v>
      </c>
      <c r="R102" s="24">
        <v>44937</v>
      </c>
      <c r="S102" s="26" t="s">
        <v>831</v>
      </c>
      <c r="T102" s="24">
        <v>44960</v>
      </c>
      <c r="U102" s="25">
        <v>4</v>
      </c>
    </row>
    <row r="103" spans="1:25" s="38" customFormat="1" x14ac:dyDescent="0.25">
      <c r="A103" s="36">
        <v>101</v>
      </c>
      <c r="B103" s="37">
        <v>44936</v>
      </c>
      <c r="C103" s="37">
        <v>44936</v>
      </c>
      <c r="D103" s="38" t="s">
        <v>748</v>
      </c>
      <c r="E103" s="38" t="s">
        <v>749</v>
      </c>
      <c r="F103" s="38" t="s">
        <v>750</v>
      </c>
      <c r="G103" s="86" t="str">
        <f t="shared" si="2"/>
        <v>NEED FORM</v>
      </c>
      <c r="H103" s="16">
        <v>5102424512</v>
      </c>
      <c r="J103" s="38" t="s">
        <v>751</v>
      </c>
      <c r="K103" s="38" t="s">
        <v>280</v>
      </c>
      <c r="L103" s="38" t="s">
        <v>174</v>
      </c>
      <c r="M103" s="38" t="s">
        <v>610</v>
      </c>
      <c r="N103" s="38">
        <v>8</v>
      </c>
      <c r="O103" s="38">
        <v>167.18</v>
      </c>
      <c r="P103" s="106">
        <f t="shared" si="3"/>
        <v>1377.56</v>
      </c>
      <c r="Q103" s="38">
        <v>40.119999999999997</v>
      </c>
      <c r="R103" s="37">
        <v>44936</v>
      </c>
      <c r="S103" s="39" t="s">
        <v>832</v>
      </c>
      <c r="T103" s="37">
        <v>44958</v>
      </c>
      <c r="U103" s="38">
        <v>8</v>
      </c>
    </row>
    <row r="104" spans="1:25" s="25" customFormat="1" x14ac:dyDescent="0.25">
      <c r="A104" s="23">
        <v>102</v>
      </c>
      <c r="B104" s="24">
        <v>44935</v>
      </c>
      <c r="C104" s="24">
        <v>44935</v>
      </c>
      <c r="D104" s="25" t="s">
        <v>666</v>
      </c>
      <c r="E104" s="25" t="s">
        <v>484</v>
      </c>
      <c r="F104" s="25" t="s">
        <v>667</v>
      </c>
      <c r="G104" s="79">
        <f t="shared" si="2"/>
        <v>45310</v>
      </c>
      <c r="H104" s="14">
        <v>4092423351</v>
      </c>
      <c r="J104" s="19" t="s">
        <v>668</v>
      </c>
      <c r="K104" s="25" t="s">
        <v>669</v>
      </c>
      <c r="L104" s="25" t="s">
        <v>144</v>
      </c>
      <c r="M104" s="25" t="s">
        <v>608</v>
      </c>
      <c r="N104" s="25">
        <v>11</v>
      </c>
      <c r="O104" s="25">
        <v>176.3</v>
      </c>
      <c r="P104" s="106">
        <f t="shared" si="3"/>
        <v>1939.3300000000002</v>
      </c>
      <c r="Q104" s="32">
        <v>0.03</v>
      </c>
      <c r="R104" s="24">
        <v>44935</v>
      </c>
      <c r="S104" s="26" t="s">
        <v>833</v>
      </c>
      <c r="T104" s="24">
        <v>44964</v>
      </c>
      <c r="U104" s="25">
        <v>11</v>
      </c>
      <c r="V104" s="25" t="s">
        <v>803</v>
      </c>
      <c r="Y104" s="25" t="s">
        <v>671</v>
      </c>
    </row>
    <row r="105" spans="1:25" s="25" customFormat="1" x14ac:dyDescent="0.25">
      <c r="A105" s="23">
        <v>103</v>
      </c>
      <c r="B105" s="24">
        <v>44936</v>
      </c>
      <c r="C105" s="24">
        <v>44936</v>
      </c>
      <c r="D105" s="25" t="s">
        <v>303</v>
      </c>
      <c r="E105" s="25" t="s">
        <v>640</v>
      </c>
      <c r="F105" s="25" t="s">
        <v>641</v>
      </c>
      <c r="G105" s="79">
        <f t="shared" si="2"/>
        <v>45359</v>
      </c>
      <c r="H105" s="14">
        <v>3618822564</v>
      </c>
      <c r="J105" s="19" t="s">
        <v>642</v>
      </c>
      <c r="K105" s="25" t="s">
        <v>643</v>
      </c>
      <c r="L105" s="25" t="s">
        <v>144</v>
      </c>
      <c r="M105" s="25" t="s">
        <v>610</v>
      </c>
      <c r="N105" s="25">
        <v>2</v>
      </c>
      <c r="O105" s="25">
        <v>171.07</v>
      </c>
      <c r="P105" s="106">
        <f t="shared" si="3"/>
        <v>342.14</v>
      </c>
      <c r="R105" s="37">
        <v>44936</v>
      </c>
      <c r="S105" s="26" t="s">
        <v>834</v>
      </c>
      <c r="T105" s="24">
        <v>44977</v>
      </c>
      <c r="U105" s="25">
        <v>2</v>
      </c>
    </row>
    <row r="106" spans="1:25" s="25" customFormat="1" x14ac:dyDescent="0.25">
      <c r="A106" s="23">
        <v>104</v>
      </c>
      <c r="B106" s="24">
        <v>44936</v>
      </c>
      <c r="C106" s="24">
        <v>44936</v>
      </c>
      <c r="D106" s="25" t="s">
        <v>303</v>
      </c>
      <c r="E106" s="25" t="s">
        <v>640</v>
      </c>
      <c r="F106" s="25" t="s">
        <v>641</v>
      </c>
      <c r="G106" s="79">
        <f t="shared" si="2"/>
        <v>45359</v>
      </c>
      <c r="H106" s="14">
        <v>3618822565</v>
      </c>
      <c r="J106" s="19" t="s">
        <v>642</v>
      </c>
      <c r="K106" s="25" t="s">
        <v>643</v>
      </c>
      <c r="L106" s="25" t="s">
        <v>144</v>
      </c>
      <c r="M106" s="25" t="s">
        <v>611</v>
      </c>
      <c r="N106" s="25">
        <v>2</v>
      </c>
      <c r="O106" s="25">
        <v>190.08</v>
      </c>
      <c r="P106" s="106">
        <f t="shared" si="3"/>
        <v>380.16</v>
      </c>
      <c r="R106" s="37">
        <v>44936</v>
      </c>
      <c r="S106" s="26" t="s">
        <v>834</v>
      </c>
      <c r="T106" s="24">
        <v>44977</v>
      </c>
      <c r="U106" s="25">
        <v>2</v>
      </c>
    </row>
    <row r="107" spans="1:25" s="30" customFormat="1" x14ac:dyDescent="0.25">
      <c r="A107" s="28">
        <v>105</v>
      </c>
      <c r="B107" s="29">
        <v>44937</v>
      </c>
      <c r="C107" s="29">
        <v>44937</v>
      </c>
      <c r="D107" s="30" t="s">
        <v>259</v>
      </c>
      <c r="E107" s="30" t="s">
        <v>835</v>
      </c>
      <c r="F107" s="30" t="s">
        <v>836</v>
      </c>
      <c r="G107" s="80">
        <f t="shared" si="2"/>
        <v>45324</v>
      </c>
      <c r="H107" s="15">
        <v>2252950930</v>
      </c>
      <c r="J107" s="30" t="s">
        <v>837</v>
      </c>
      <c r="K107" s="30" t="s">
        <v>425</v>
      </c>
      <c r="L107" s="30" t="s">
        <v>108</v>
      </c>
      <c r="M107" s="30" t="s">
        <v>608</v>
      </c>
      <c r="N107" s="30">
        <v>2</v>
      </c>
      <c r="O107" s="30">
        <v>171.07</v>
      </c>
      <c r="P107" s="107">
        <f t="shared" si="3"/>
        <v>342.14</v>
      </c>
      <c r="R107" s="29"/>
      <c r="S107" s="31"/>
      <c r="T107" s="29"/>
    </row>
    <row r="108" spans="1:25" s="25" customFormat="1" x14ac:dyDescent="0.25">
      <c r="A108" s="23">
        <v>106</v>
      </c>
      <c r="B108" s="24">
        <v>44942</v>
      </c>
      <c r="C108" s="24">
        <v>44942</v>
      </c>
      <c r="D108" s="25" t="s">
        <v>666</v>
      </c>
      <c r="E108" s="25" t="s">
        <v>484</v>
      </c>
      <c r="F108" s="25" t="s">
        <v>667</v>
      </c>
      <c r="G108" s="79">
        <f t="shared" si="2"/>
        <v>45310</v>
      </c>
      <c r="H108" s="14">
        <v>4092423351</v>
      </c>
      <c r="J108" s="19" t="s">
        <v>668</v>
      </c>
      <c r="K108" s="25" t="s">
        <v>669</v>
      </c>
      <c r="L108" s="25" t="s">
        <v>144</v>
      </c>
      <c r="M108" s="25" t="s">
        <v>608</v>
      </c>
      <c r="N108" s="25">
        <v>2</v>
      </c>
      <c r="O108" s="25">
        <v>176.36</v>
      </c>
      <c r="P108" s="106">
        <f t="shared" si="3"/>
        <v>352.75</v>
      </c>
      <c r="Q108" s="32">
        <v>0.03</v>
      </c>
      <c r="R108" s="24">
        <v>44942</v>
      </c>
      <c r="S108" s="26" t="s">
        <v>838</v>
      </c>
      <c r="T108" s="24">
        <v>44963</v>
      </c>
      <c r="U108" s="25">
        <v>2</v>
      </c>
      <c r="V108" s="25" t="s">
        <v>803</v>
      </c>
      <c r="Y108" s="25" t="s">
        <v>671</v>
      </c>
    </row>
    <row r="109" spans="1:25" s="25" customFormat="1" x14ac:dyDescent="0.25">
      <c r="A109" s="23">
        <v>107</v>
      </c>
      <c r="B109" s="24">
        <v>44944</v>
      </c>
      <c r="C109" s="24">
        <v>44944</v>
      </c>
      <c r="D109" s="25" t="s">
        <v>839</v>
      </c>
      <c r="E109" s="25" t="s">
        <v>840</v>
      </c>
      <c r="F109" s="25" t="s">
        <v>617</v>
      </c>
      <c r="G109" s="79" t="str">
        <f t="shared" si="2"/>
        <v>NOT EXEMPT</v>
      </c>
      <c r="H109" s="14">
        <v>5737544501</v>
      </c>
      <c r="J109" s="19" t="s">
        <v>841</v>
      </c>
      <c r="K109" s="25" t="s">
        <v>842</v>
      </c>
      <c r="L109" s="25" t="s">
        <v>418</v>
      </c>
      <c r="M109" s="25" t="s">
        <v>619</v>
      </c>
      <c r="N109" s="115">
        <v>5</v>
      </c>
      <c r="O109" s="25">
        <v>124.09</v>
      </c>
      <c r="P109" s="106">
        <f t="shared" si="3"/>
        <v>620.45000000000005</v>
      </c>
      <c r="R109" s="24">
        <v>44950</v>
      </c>
      <c r="S109" s="26">
        <v>4501553771</v>
      </c>
      <c r="T109" s="24">
        <v>44977</v>
      </c>
      <c r="U109" s="25">
        <v>5</v>
      </c>
    </row>
    <row r="110" spans="1:25" s="30" customFormat="1" x14ac:dyDescent="0.25">
      <c r="A110" s="28">
        <v>108</v>
      </c>
      <c r="B110" s="29">
        <v>44949</v>
      </c>
      <c r="C110" s="29">
        <v>44949</v>
      </c>
      <c r="D110" s="30" t="s">
        <v>254</v>
      </c>
      <c r="E110" s="30" t="s">
        <v>843</v>
      </c>
      <c r="F110" s="30" t="s">
        <v>628</v>
      </c>
      <c r="G110" s="80">
        <f t="shared" si="2"/>
        <v>44562</v>
      </c>
      <c r="H110" s="15" t="s">
        <v>844</v>
      </c>
      <c r="J110" s="35" t="s">
        <v>845</v>
      </c>
      <c r="K110" s="22" t="s">
        <v>846</v>
      </c>
      <c r="L110" s="22" t="s">
        <v>650</v>
      </c>
      <c r="M110" s="30" t="s">
        <v>610</v>
      </c>
      <c r="N110" s="30">
        <v>2</v>
      </c>
      <c r="O110" s="30">
        <v>171.07</v>
      </c>
      <c r="P110" s="108">
        <f t="shared" si="3"/>
        <v>342.14</v>
      </c>
      <c r="R110" s="29"/>
      <c r="S110" s="31"/>
      <c r="T110" s="29"/>
    </row>
    <row r="111" spans="1:25" s="25" customFormat="1" x14ac:dyDescent="0.25">
      <c r="A111" s="23">
        <v>109</v>
      </c>
      <c r="B111" s="24">
        <v>44949</v>
      </c>
      <c r="C111" s="24">
        <v>44949</v>
      </c>
      <c r="D111" s="25" t="s">
        <v>334</v>
      </c>
      <c r="E111" s="25" t="s">
        <v>847</v>
      </c>
      <c r="F111" s="25" t="s">
        <v>361</v>
      </c>
      <c r="G111" s="79">
        <f t="shared" si="2"/>
        <v>45336</v>
      </c>
      <c r="H111" s="14">
        <v>5048358888</v>
      </c>
      <c r="J111" s="25" t="s">
        <v>848</v>
      </c>
      <c r="K111" s="25" t="s">
        <v>849</v>
      </c>
      <c r="L111" s="25" t="s">
        <v>850</v>
      </c>
      <c r="M111" s="25" t="s">
        <v>610</v>
      </c>
      <c r="N111" s="25">
        <v>57</v>
      </c>
      <c r="O111" s="25">
        <v>158.69999999999999</v>
      </c>
      <c r="P111" s="106">
        <f t="shared" si="3"/>
        <v>9045.93</v>
      </c>
      <c r="Q111" s="32">
        <v>0.03</v>
      </c>
      <c r="R111" s="24">
        <v>44980</v>
      </c>
      <c r="S111" s="26" t="s">
        <v>851</v>
      </c>
      <c r="T111" s="24">
        <v>45001</v>
      </c>
      <c r="U111" s="25">
        <v>57</v>
      </c>
      <c r="V111" s="25" t="s">
        <v>683</v>
      </c>
      <c r="Y111" s="25" t="s">
        <v>852</v>
      </c>
    </row>
    <row r="112" spans="1:25" s="30" customFormat="1" ht="15" customHeight="1" x14ac:dyDescent="0.25">
      <c r="A112" s="28">
        <v>110</v>
      </c>
      <c r="B112" s="29">
        <v>44950</v>
      </c>
      <c r="C112" s="29">
        <v>44950</v>
      </c>
      <c r="D112" s="30" t="s">
        <v>219</v>
      </c>
      <c r="E112" s="30" t="s">
        <v>853</v>
      </c>
      <c r="F112" s="30" t="s">
        <v>854</v>
      </c>
      <c r="G112" s="80" t="str">
        <f t="shared" si="2"/>
        <v>NEED FORM</v>
      </c>
      <c r="H112" s="15">
        <v>5854750070</v>
      </c>
      <c r="J112" s="30" t="s">
        <v>855</v>
      </c>
      <c r="K112" s="30" t="s">
        <v>856</v>
      </c>
      <c r="L112" s="30" t="s">
        <v>232</v>
      </c>
      <c r="M112" s="30" t="s">
        <v>857</v>
      </c>
      <c r="N112" s="50">
        <v>2</v>
      </c>
      <c r="O112" s="30">
        <v>171.07</v>
      </c>
      <c r="P112" s="107">
        <f t="shared" si="3"/>
        <v>342.14</v>
      </c>
      <c r="R112" s="29"/>
      <c r="S112" s="31"/>
      <c r="T112" s="29"/>
    </row>
    <row r="113" spans="1:25" s="30" customFormat="1" x14ac:dyDescent="0.25">
      <c r="A113" s="28">
        <v>111</v>
      </c>
      <c r="B113" s="29">
        <v>44950</v>
      </c>
      <c r="C113" s="29">
        <v>44950</v>
      </c>
      <c r="D113" s="30" t="s">
        <v>858</v>
      </c>
      <c r="E113" s="30" t="s">
        <v>859</v>
      </c>
      <c r="F113" s="30" t="s">
        <v>860</v>
      </c>
      <c r="G113" s="80" t="str">
        <f t="shared" si="2"/>
        <v>NEED FORM</v>
      </c>
      <c r="H113" s="15" t="s">
        <v>861</v>
      </c>
      <c r="J113" s="21" t="s">
        <v>862</v>
      </c>
      <c r="K113" s="30" t="s">
        <v>863</v>
      </c>
      <c r="L113" s="30" t="s">
        <v>92</v>
      </c>
      <c r="M113" s="30" t="s">
        <v>864</v>
      </c>
      <c r="N113" s="116">
        <v>2</v>
      </c>
      <c r="O113" s="30">
        <v>129.06</v>
      </c>
      <c r="P113" s="107">
        <f t="shared" si="3"/>
        <v>258.12</v>
      </c>
      <c r="R113" s="29"/>
      <c r="S113" s="31"/>
      <c r="T113" s="29"/>
    </row>
    <row r="114" spans="1:25" s="30" customFormat="1" x14ac:dyDescent="0.25">
      <c r="A114" s="28">
        <v>112</v>
      </c>
      <c r="B114" s="29">
        <v>44950</v>
      </c>
      <c r="C114" s="29">
        <v>44950</v>
      </c>
      <c r="D114" s="30" t="s">
        <v>865</v>
      </c>
      <c r="E114" s="30" t="s">
        <v>461</v>
      </c>
      <c r="F114" s="30" t="s">
        <v>788</v>
      </c>
      <c r="G114" s="80">
        <f t="shared" si="2"/>
        <v>45597</v>
      </c>
      <c r="H114" s="15">
        <v>4323682207</v>
      </c>
      <c r="J114" s="21" t="s">
        <v>866</v>
      </c>
      <c r="K114" s="30" t="s">
        <v>633</v>
      </c>
      <c r="L114" s="30" t="s">
        <v>144</v>
      </c>
      <c r="M114" s="30" t="s">
        <v>610</v>
      </c>
      <c r="N114" s="30">
        <v>2</v>
      </c>
      <c r="O114" s="30">
        <v>171.07</v>
      </c>
      <c r="P114" s="107">
        <f t="shared" si="3"/>
        <v>342.14</v>
      </c>
      <c r="R114" s="29"/>
      <c r="S114" s="31"/>
      <c r="T114" s="29"/>
    </row>
    <row r="115" spans="1:25" s="25" customFormat="1" x14ac:dyDescent="0.25">
      <c r="A115" s="23">
        <v>113</v>
      </c>
      <c r="B115" s="24">
        <v>44951</v>
      </c>
      <c r="C115" s="24">
        <v>44951</v>
      </c>
      <c r="D115" s="25" t="s">
        <v>666</v>
      </c>
      <c r="E115" s="25" t="s">
        <v>484</v>
      </c>
      <c r="F115" s="25" t="s">
        <v>667</v>
      </c>
      <c r="G115" s="79">
        <f t="shared" si="2"/>
        <v>45310</v>
      </c>
      <c r="H115" s="14">
        <v>4092423351</v>
      </c>
      <c r="J115" s="19" t="s">
        <v>668</v>
      </c>
      <c r="K115" s="25" t="s">
        <v>669</v>
      </c>
      <c r="L115" s="25" t="s">
        <v>144</v>
      </c>
      <c r="M115" s="25" t="s">
        <v>611</v>
      </c>
      <c r="N115" s="25">
        <v>12</v>
      </c>
      <c r="O115" s="25">
        <v>186.88</v>
      </c>
      <c r="P115" s="106">
        <f t="shared" si="3"/>
        <v>2242.59</v>
      </c>
      <c r="Q115" s="32">
        <v>0.03</v>
      </c>
      <c r="R115" s="24">
        <v>44951</v>
      </c>
      <c r="S115" s="26" t="s">
        <v>867</v>
      </c>
      <c r="T115" s="24">
        <v>44972</v>
      </c>
      <c r="U115" s="25">
        <v>12</v>
      </c>
      <c r="V115" s="25" t="s">
        <v>803</v>
      </c>
      <c r="Y115" s="25" t="s">
        <v>671</v>
      </c>
    </row>
    <row r="116" spans="1:25" s="25" customFormat="1" x14ac:dyDescent="0.25">
      <c r="A116" s="23">
        <v>114</v>
      </c>
      <c r="B116" s="24">
        <v>44951</v>
      </c>
      <c r="C116" s="24">
        <v>44725</v>
      </c>
      <c r="D116" s="25" t="s">
        <v>347</v>
      </c>
      <c r="E116" s="25" t="s">
        <v>396</v>
      </c>
      <c r="F116" s="25" t="s">
        <v>423</v>
      </c>
      <c r="G116" s="79" t="str">
        <f t="shared" si="2"/>
        <v>NEED FORM</v>
      </c>
      <c r="H116" s="14">
        <v>7139474641</v>
      </c>
      <c r="J116" s="19" t="s">
        <v>612</v>
      </c>
      <c r="K116" s="25" t="s">
        <v>505</v>
      </c>
      <c r="L116" s="25" t="s">
        <v>144</v>
      </c>
      <c r="M116" s="25" t="s">
        <v>610</v>
      </c>
      <c r="N116" s="25">
        <v>28</v>
      </c>
      <c r="O116" s="25">
        <v>163.30000000000001</v>
      </c>
      <c r="P116" s="106">
        <f t="shared" si="3"/>
        <v>4572.4000000000005</v>
      </c>
      <c r="Q116" s="25">
        <v>0</v>
      </c>
      <c r="R116" s="24">
        <v>44951</v>
      </c>
      <c r="S116" s="26">
        <v>4362308</v>
      </c>
      <c r="T116" s="24">
        <v>44769</v>
      </c>
      <c r="U116" s="25">
        <v>28</v>
      </c>
    </row>
    <row r="117" spans="1:25" s="30" customFormat="1" x14ac:dyDescent="0.25">
      <c r="A117" s="28">
        <v>115</v>
      </c>
      <c r="B117" s="29">
        <v>44953</v>
      </c>
      <c r="C117" s="29">
        <v>44953</v>
      </c>
      <c r="D117" s="30" t="s">
        <v>666</v>
      </c>
      <c r="E117" s="30" t="s">
        <v>484</v>
      </c>
      <c r="F117" s="30" t="s">
        <v>667</v>
      </c>
      <c r="G117" s="80">
        <f t="shared" si="2"/>
        <v>45310</v>
      </c>
      <c r="H117" s="15">
        <v>4092423351</v>
      </c>
      <c r="J117" s="35" t="s">
        <v>668</v>
      </c>
      <c r="K117" s="30" t="s">
        <v>669</v>
      </c>
      <c r="L117" s="30" t="s">
        <v>144</v>
      </c>
      <c r="M117" s="30" t="s">
        <v>611</v>
      </c>
      <c r="N117" s="30">
        <v>12</v>
      </c>
      <c r="O117" s="30">
        <v>186.88</v>
      </c>
      <c r="P117" s="108">
        <f t="shared" si="3"/>
        <v>2242.59</v>
      </c>
      <c r="Q117" s="46">
        <v>0.03</v>
      </c>
      <c r="R117" s="29">
        <v>44951</v>
      </c>
      <c r="S117" s="31"/>
      <c r="T117" s="29"/>
      <c r="Y117" s="30" t="s">
        <v>671</v>
      </c>
    </row>
    <row r="118" spans="1:25" s="25" customFormat="1" x14ac:dyDescent="0.25">
      <c r="A118" s="23">
        <v>116</v>
      </c>
      <c r="B118" s="24">
        <v>44953</v>
      </c>
      <c r="C118" s="24">
        <v>44953</v>
      </c>
      <c r="D118" s="25" t="s">
        <v>666</v>
      </c>
      <c r="E118" s="25" t="s">
        <v>484</v>
      </c>
      <c r="F118" s="25" t="s">
        <v>667</v>
      </c>
      <c r="G118" s="79">
        <f t="shared" si="2"/>
        <v>45310</v>
      </c>
      <c r="H118" s="14">
        <v>4092423351</v>
      </c>
      <c r="J118" s="19" t="s">
        <v>668</v>
      </c>
      <c r="K118" s="25" t="s">
        <v>669</v>
      </c>
      <c r="L118" s="25" t="s">
        <v>144</v>
      </c>
      <c r="M118" s="25" t="s">
        <v>608</v>
      </c>
      <c r="N118" s="25">
        <v>5</v>
      </c>
      <c r="O118" s="25">
        <v>176.36</v>
      </c>
      <c r="P118" s="106">
        <f t="shared" si="3"/>
        <v>881.83</v>
      </c>
      <c r="Q118" s="32">
        <v>0.03</v>
      </c>
      <c r="R118" s="24">
        <v>44952</v>
      </c>
      <c r="S118" s="26" t="s">
        <v>868</v>
      </c>
      <c r="T118" s="24">
        <v>44974</v>
      </c>
      <c r="U118" s="25">
        <v>5</v>
      </c>
      <c r="V118" s="25" t="s">
        <v>803</v>
      </c>
      <c r="Y118" s="25" t="s">
        <v>671</v>
      </c>
    </row>
    <row r="119" spans="1:25" s="25" customFormat="1" x14ac:dyDescent="0.25">
      <c r="A119" s="23">
        <v>117</v>
      </c>
      <c r="B119" s="24">
        <v>44957</v>
      </c>
      <c r="C119" s="24">
        <v>44953</v>
      </c>
      <c r="D119" s="25" t="s">
        <v>666</v>
      </c>
      <c r="E119" s="25" t="s">
        <v>484</v>
      </c>
      <c r="F119" s="25" t="s">
        <v>667</v>
      </c>
      <c r="G119" s="79">
        <f t="shared" si="2"/>
        <v>45310</v>
      </c>
      <c r="H119" s="14">
        <v>4092423351</v>
      </c>
      <c r="J119" s="19" t="s">
        <v>668</v>
      </c>
      <c r="K119" s="25" t="s">
        <v>669</v>
      </c>
      <c r="L119" s="25" t="s">
        <v>144</v>
      </c>
      <c r="M119" s="25" t="s">
        <v>608</v>
      </c>
      <c r="N119" s="25">
        <v>2</v>
      </c>
      <c r="O119" s="25">
        <v>176.36</v>
      </c>
      <c r="P119" s="106">
        <f t="shared" si="3"/>
        <v>352.75</v>
      </c>
      <c r="Q119" s="32">
        <v>0.03</v>
      </c>
      <c r="R119" s="24">
        <v>44952</v>
      </c>
      <c r="S119" s="26" t="s">
        <v>869</v>
      </c>
      <c r="T119" s="24">
        <v>44978</v>
      </c>
      <c r="U119" s="25">
        <v>2</v>
      </c>
      <c r="V119" s="25" t="s">
        <v>803</v>
      </c>
      <c r="Y119" s="25" t="s">
        <v>671</v>
      </c>
    </row>
    <row r="120" spans="1:25" s="30" customFormat="1" x14ac:dyDescent="0.25">
      <c r="A120" s="28">
        <v>118</v>
      </c>
      <c r="B120" s="29">
        <v>44958</v>
      </c>
      <c r="C120" s="29">
        <v>44958</v>
      </c>
      <c r="D120" s="30" t="s">
        <v>870</v>
      </c>
      <c r="E120" s="30" t="s">
        <v>871</v>
      </c>
      <c r="F120" s="30" t="s">
        <v>872</v>
      </c>
      <c r="G120" s="80" t="str">
        <f t="shared" si="2"/>
        <v>NEED FORM</v>
      </c>
      <c r="H120" s="15">
        <v>3065302913</v>
      </c>
      <c r="J120" s="30" t="s">
        <v>873</v>
      </c>
      <c r="K120" s="30" t="s">
        <v>874</v>
      </c>
      <c r="L120" s="30" t="s">
        <v>875</v>
      </c>
      <c r="M120" s="30" t="s">
        <v>876</v>
      </c>
      <c r="N120" s="30">
        <v>70</v>
      </c>
      <c r="O120" s="30">
        <v>154.08000000000001</v>
      </c>
      <c r="P120" s="107">
        <f t="shared" si="3"/>
        <v>10785.6</v>
      </c>
      <c r="R120" s="29"/>
      <c r="S120" s="31"/>
      <c r="T120" s="29"/>
    </row>
    <row r="121" spans="1:25" s="42" customFormat="1" x14ac:dyDescent="0.25">
      <c r="A121" s="40">
        <v>119</v>
      </c>
      <c r="B121" s="41">
        <v>44958</v>
      </c>
      <c r="C121" s="41">
        <v>44958</v>
      </c>
      <c r="D121" s="42" t="s">
        <v>870</v>
      </c>
      <c r="E121" s="42" t="s">
        <v>871</v>
      </c>
      <c r="F121" s="42" t="s">
        <v>872</v>
      </c>
      <c r="G121" s="87" t="str">
        <f t="shared" si="2"/>
        <v>NEED FORM</v>
      </c>
      <c r="H121" s="17">
        <v>3065302913</v>
      </c>
      <c r="J121" s="42" t="s">
        <v>873</v>
      </c>
      <c r="K121" s="42" t="s">
        <v>874</v>
      </c>
      <c r="L121" s="42" t="s">
        <v>875</v>
      </c>
      <c r="M121" s="42" t="s">
        <v>611</v>
      </c>
      <c r="N121" s="42">
        <v>70</v>
      </c>
      <c r="O121" s="42">
        <v>171.2</v>
      </c>
      <c r="P121" s="107">
        <f t="shared" si="3"/>
        <v>11984</v>
      </c>
      <c r="R121" s="41"/>
      <c r="S121" s="43"/>
      <c r="T121" s="41"/>
    </row>
    <row r="122" spans="1:25" s="25" customFormat="1" x14ac:dyDescent="0.25">
      <c r="A122" s="23">
        <v>120</v>
      </c>
      <c r="B122" s="24">
        <v>44960</v>
      </c>
      <c r="C122" s="24">
        <v>44949</v>
      </c>
      <c r="D122" s="25" t="s">
        <v>234</v>
      </c>
      <c r="E122" s="25" t="s">
        <v>877</v>
      </c>
      <c r="F122" s="25" t="s">
        <v>361</v>
      </c>
      <c r="G122" s="79">
        <f t="shared" si="2"/>
        <v>45336</v>
      </c>
      <c r="H122" s="14">
        <v>7143677024</v>
      </c>
      <c r="J122" s="25" t="s">
        <v>878</v>
      </c>
      <c r="K122" s="25" t="s">
        <v>879</v>
      </c>
      <c r="L122" s="25" t="s">
        <v>174</v>
      </c>
      <c r="M122" s="25" t="s">
        <v>610</v>
      </c>
      <c r="N122" s="25">
        <v>10</v>
      </c>
      <c r="O122" s="25">
        <v>163.30000000000001</v>
      </c>
      <c r="P122" s="106">
        <f t="shared" si="3"/>
        <v>1633</v>
      </c>
      <c r="R122" s="24">
        <v>44987</v>
      </c>
      <c r="S122" s="26" t="s">
        <v>880</v>
      </c>
      <c r="T122" s="24">
        <v>44987</v>
      </c>
      <c r="U122" s="25">
        <v>10</v>
      </c>
      <c r="V122" s="25" t="s">
        <v>683</v>
      </c>
    </row>
    <row r="123" spans="1:25" s="30" customFormat="1" x14ac:dyDescent="0.25">
      <c r="A123" s="28">
        <v>121</v>
      </c>
      <c r="B123" s="29">
        <v>44960</v>
      </c>
      <c r="C123" s="29">
        <v>44960</v>
      </c>
      <c r="D123" s="30" t="s">
        <v>870</v>
      </c>
      <c r="E123" s="30" t="s">
        <v>871</v>
      </c>
      <c r="F123" s="30" t="s">
        <v>872</v>
      </c>
      <c r="G123" s="80" t="str">
        <f t="shared" si="2"/>
        <v>NEED FORM</v>
      </c>
      <c r="H123" s="15">
        <v>3065302913</v>
      </c>
      <c r="J123" s="30" t="s">
        <v>873</v>
      </c>
      <c r="K123" s="30" t="s">
        <v>874</v>
      </c>
      <c r="L123" s="30" t="s">
        <v>875</v>
      </c>
      <c r="M123" s="30" t="s">
        <v>610</v>
      </c>
      <c r="N123" s="30">
        <v>2</v>
      </c>
      <c r="O123" s="30">
        <v>171.07</v>
      </c>
      <c r="P123" s="107">
        <f t="shared" si="3"/>
        <v>367.4</v>
      </c>
      <c r="Q123" s="30">
        <v>25.26</v>
      </c>
      <c r="R123" s="29"/>
      <c r="S123" s="31"/>
      <c r="T123" s="29"/>
    </row>
    <row r="124" spans="1:25" s="25" customFormat="1" x14ac:dyDescent="0.25">
      <c r="A124" s="23">
        <v>122</v>
      </c>
      <c r="B124" s="24">
        <v>44964</v>
      </c>
      <c r="C124" s="24">
        <v>44964</v>
      </c>
      <c r="D124" s="25" t="s">
        <v>234</v>
      </c>
      <c r="E124" s="25" t="s">
        <v>877</v>
      </c>
      <c r="F124" s="25" t="s">
        <v>361</v>
      </c>
      <c r="G124" s="79">
        <f t="shared" si="2"/>
        <v>45336</v>
      </c>
      <c r="H124" s="14">
        <v>7143677024</v>
      </c>
      <c r="J124" s="25" t="s">
        <v>878</v>
      </c>
      <c r="K124" s="25" t="s">
        <v>879</v>
      </c>
      <c r="L124" s="25" t="s">
        <v>174</v>
      </c>
      <c r="M124" s="25" t="s">
        <v>611</v>
      </c>
      <c r="N124" s="25">
        <v>2</v>
      </c>
      <c r="O124" s="25">
        <v>190.08</v>
      </c>
      <c r="P124" s="106">
        <f t="shared" si="3"/>
        <v>380.16</v>
      </c>
      <c r="R124" s="24">
        <v>44974</v>
      </c>
      <c r="S124" s="26" t="s">
        <v>881</v>
      </c>
      <c r="T124" s="24">
        <v>44995</v>
      </c>
      <c r="U124" s="25">
        <v>2</v>
      </c>
      <c r="V124" s="25" t="s">
        <v>683</v>
      </c>
    </row>
    <row r="125" spans="1:25" s="38" customFormat="1" x14ac:dyDescent="0.25">
      <c r="A125" s="36">
        <v>123</v>
      </c>
      <c r="B125" s="37">
        <v>44965</v>
      </c>
      <c r="C125" s="37">
        <v>44965</v>
      </c>
      <c r="D125" s="38" t="s">
        <v>870</v>
      </c>
      <c r="E125" s="38" t="s">
        <v>871</v>
      </c>
      <c r="F125" s="38" t="s">
        <v>872</v>
      </c>
      <c r="G125" s="86" t="str">
        <f t="shared" si="2"/>
        <v>NEED FORM</v>
      </c>
      <c r="H125" s="16">
        <v>3065302913</v>
      </c>
      <c r="J125" s="38" t="s">
        <v>873</v>
      </c>
      <c r="K125" s="38" t="s">
        <v>874</v>
      </c>
      <c r="L125" s="38" t="s">
        <v>875</v>
      </c>
      <c r="M125" s="38" t="s">
        <v>611</v>
      </c>
      <c r="N125" s="38">
        <v>2</v>
      </c>
      <c r="O125" s="38">
        <v>171.2</v>
      </c>
      <c r="P125" s="106">
        <f t="shared" si="3"/>
        <v>352.65999999999997</v>
      </c>
      <c r="Q125" s="38">
        <v>10.26</v>
      </c>
      <c r="R125" s="37">
        <v>44986</v>
      </c>
      <c r="S125" s="39" t="s">
        <v>882</v>
      </c>
      <c r="T125" s="37">
        <v>44986</v>
      </c>
      <c r="U125" s="38">
        <v>2</v>
      </c>
    </row>
    <row r="126" spans="1:25" s="25" customFormat="1" x14ac:dyDescent="0.25">
      <c r="A126" s="23">
        <v>124</v>
      </c>
      <c r="B126" s="24">
        <v>44970</v>
      </c>
      <c r="C126" s="24">
        <v>44970</v>
      </c>
      <c r="D126" s="25" t="s">
        <v>666</v>
      </c>
      <c r="E126" s="25" t="s">
        <v>484</v>
      </c>
      <c r="F126" s="25" t="s">
        <v>667</v>
      </c>
      <c r="G126" s="79">
        <f t="shared" si="2"/>
        <v>45310</v>
      </c>
      <c r="H126" s="14">
        <v>4092423351</v>
      </c>
      <c r="J126" s="19" t="s">
        <v>668</v>
      </c>
      <c r="K126" s="25" t="s">
        <v>669</v>
      </c>
      <c r="L126" s="25" t="s">
        <v>144</v>
      </c>
      <c r="M126" s="25" t="s">
        <v>608</v>
      </c>
      <c r="N126" s="25">
        <v>2</v>
      </c>
      <c r="O126" s="25">
        <v>176.36</v>
      </c>
      <c r="P126" s="106">
        <f t="shared" si="3"/>
        <v>352.75</v>
      </c>
      <c r="Q126" s="32">
        <v>0.03</v>
      </c>
      <c r="R126" s="24">
        <v>44952</v>
      </c>
      <c r="S126" s="26" t="s">
        <v>883</v>
      </c>
      <c r="T126" s="24">
        <v>44991</v>
      </c>
      <c r="U126" s="25">
        <v>2</v>
      </c>
      <c r="V126" s="25" t="s">
        <v>803</v>
      </c>
      <c r="Y126" s="25" t="s">
        <v>671</v>
      </c>
    </row>
    <row r="127" spans="1:25" s="30" customFormat="1" x14ac:dyDescent="0.25">
      <c r="A127" s="28">
        <v>125</v>
      </c>
      <c r="B127" s="29">
        <v>44971</v>
      </c>
      <c r="C127" s="29">
        <v>44971</v>
      </c>
      <c r="D127" s="30" t="s">
        <v>655</v>
      </c>
      <c r="E127" s="30" t="s">
        <v>656</v>
      </c>
      <c r="F127" s="30" t="s">
        <v>628</v>
      </c>
      <c r="G127" s="80">
        <f t="shared" si="2"/>
        <v>44562</v>
      </c>
      <c r="H127" s="15" t="s">
        <v>844</v>
      </c>
      <c r="J127" s="21" t="s">
        <v>657</v>
      </c>
      <c r="K127" s="22" t="s">
        <v>505</v>
      </c>
      <c r="L127" s="22" t="s">
        <v>144</v>
      </c>
      <c r="M127" s="30" t="s">
        <v>610</v>
      </c>
      <c r="N127" s="30">
        <v>2</v>
      </c>
      <c r="O127" s="30">
        <v>171.07</v>
      </c>
      <c r="P127" s="108">
        <f t="shared" si="3"/>
        <v>342.14</v>
      </c>
      <c r="R127" s="29"/>
      <c r="S127" s="31"/>
      <c r="T127" s="29"/>
    </row>
    <row r="128" spans="1:25" s="30" customFormat="1" x14ac:dyDescent="0.25">
      <c r="A128" s="28">
        <v>126</v>
      </c>
      <c r="B128" s="29">
        <v>44971</v>
      </c>
      <c r="C128" s="29">
        <v>44971</v>
      </c>
      <c r="D128" s="30" t="s">
        <v>655</v>
      </c>
      <c r="E128" s="30" t="s">
        <v>656</v>
      </c>
      <c r="F128" s="30" t="s">
        <v>628</v>
      </c>
      <c r="G128" s="80">
        <f t="shared" si="2"/>
        <v>44562</v>
      </c>
      <c r="H128" s="15" t="s">
        <v>844</v>
      </c>
      <c r="J128" s="21" t="s">
        <v>657</v>
      </c>
      <c r="K128" s="22" t="s">
        <v>505</v>
      </c>
      <c r="L128" s="22" t="s">
        <v>144</v>
      </c>
      <c r="M128" s="30" t="s">
        <v>611</v>
      </c>
      <c r="N128" s="30">
        <v>2</v>
      </c>
      <c r="O128" s="30">
        <v>190.08</v>
      </c>
      <c r="P128" s="108">
        <f t="shared" si="3"/>
        <v>380.16</v>
      </c>
      <c r="R128" s="29"/>
      <c r="S128" s="31"/>
      <c r="T128" s="29"/>
    </row>
    <row r="129" spans="1:25" s="25" customFormat="1" x14ac:dyDescent="0.25">
      <c r="A129" s="23">
        <v>127</v>
      </c>
      <c r="B129" s="24">
        <v>44973</v>
      </c>
      <c r="C129" s="24">
        <v>44973</v>
      </c>
      <c r="D129" s="25" t="s">
        <v>103</v>
      </c>
      <c r="E129" s="25" t="s">
        <v>884</v>
      </c>
      <c r="F129" s="25" t="s">
        <v>885</v>
      </c>
      <c r="G129" s="79" t="str">
        <f t="shared" si="2"/>
        <v>NEED FORM</v>
      </c>
      <c r="H129" s="14">
        <v>4232298651</v>
      </c>
      <c r="J129" s="25" t="s">
        <v>886</v>
      </c>
      <c r="K129" s="25" t="s">
        <v>887</v>
      </c>
      <c r="L129" s="25" t="s">
        <v>112</v>
      </c>
      <c r="M129" s="25" t="s">
        <v>746</v>
      </c>
      <c r="N129" s="115">
        <v>2</v>
      </c>
      <c r="O129" s="25">
        <v>129.06</v>
      </c>
      <c r="P129" s="106">
        <f t="shared" si="3"/>
        <v>258.12</v>
      </c>
      <c r="Q129" s="32"/>
      <c r="R129" s="24">
        <v>44973</v>
      </c>
      <c r="S129" s="26" t="s">
        <v>888</v>
      </c>
      <c r="T129" s="24">
        <v>44994</v>
      </c>
      <c r="U129" s="25">
        <v>2</v>
      </c>
      <c r="Y129" s="25" t="s">
        <v>889</v>
      </c>
    </row>
    <row r="130" spans="1:25" s="30" customFormat="1" x14ac:dyDescent="0.25">
      <c r="A130" s="28">
        <v>128</v>
      </c>
      <c r="B130" s="29">
        <v>44974</v>
      </c>
      <c r="C130" s="29">
        <v>44974</v>
      </c>
      <c r="D130" s="30" t="s">
        <v>890</v>
      </c>
      <c r="E130" s="30" t="s">
        <v>891</v>
      </c>
      <c r="F130" s="30" t="s">
        <v>628</v>
      </c>
      <c r="G130" s="80">
        <f t="shared" si="2"/>
        <v>44562</v>
      </c>
      <c r="H130" s="15">
        <v>8327684731</v>
      </c>
      <c r="J130" s="35" t="s">
        <v>892</v>
      </c>
      <c r="K130" s="22" t="s">
        <v>505</v>
      </c>
      <c r="L130" s="22" t="s">
        <v>144</v>
      </c>
      <c r="M130" s="30" t="s">
        <v>610</v>
      </c>
      <c r="N130" s="30">
        <v>100</v>
      </c>
      <c r="O130" s="30">
        <v>146.38</v>
      </c>
      <c r="P130" s="108">
        <f t="shared" si="3"/>
        <v>14638</v>
      </c>
      <c r="R130" s="29"/>
      <c r="S130" s="31"/>
      <c r="T130" s="29"/>
    </row>
    <row r="131" spans="1:25" s="25" customFormat="1" x14ac:dyDescent="0.25">
      <c r="A131" s="23">
        <v>129</v>
      </c>
      <c r="B131" s="24">
        <v>44981</v>
      </c>
      <c r="C131" s="24">
        <v>44981</v>
      </c>
      <c r="D131" s="25" t="s">
        <v>407</v>
      </c>
      <c r="E131" s="25" t="s">
        <v>893</v>
      </c>
      <c r="F131" s="25" t="s">
        <v>628</v>
      </c>
      <c r="G131" s="79">
        <f t="shared" ref="G131:G194" si="4">_xlfn.IFNA(VLOOKUP(F131,TAX,2,FALSE), "NEED FORM")</f>
        <v>44562</v>
      </c>
      <c r="H131" s="265" t="s">
        <v>894</v>
      </c>
      <c r="J131" s="25" t="s">
        <v>895</v>
      </c>
      <c r="K131" s="67" t="s">
        <v>505</v>
      </c>
      <c r="L131" s="67" t="s">
        <v>144</v>
      </c>
      <c r="M131" s="25" t="s">
        <v>611</v>
      </c>
      <c r="N131" s="25">
        <v>13</v>
      </c>
      <c r="O131" s="25">
        <v>181.44</v>
      </c>
      <c r="P131" s="106">
        <f t="shared" ref="P131:P194" si="5">N131*O131+Q131</f>
        <v>2429.48</v>
      </c>
      <c r="Q131" s="25">
        <v>70.760000000000005</v>
      </c>
      <c r="R131" s="68">
        <v>44984</v>
      </c>
      <c r="S131" s="26">
        <v>9131011</v>
      </c>
      <c r="T131" s="24">
        <v>45005</v>
      </c>
      <c r="U131" s="25">
        <v>13</v>
      </c>
      <c r="V131" s="25" t="s">
        <v>896</v>
      </c>
    </row>
    <row r="132" spans="1:25" s="63" customFormat="1" x14ac:dyDescent="0.25">
      <c r="A132" s="61">
        <v>130</v>
      </c>
      <c r="B132" s="62">
        <v>44981</v>
      </c>
      <c r="C132" s="62">
        <v>44981</v>
      </c>
      <c r="D132" s="63" t="s">
        <v>239</v>
      </c>
      <c r="E132" s="63" t="s">
        <v>680</v>
      </c>
      <c r="F132" s="63" t="s">
        <v>897</v>
      </c>
      <c r="G132" s="90" t="str">
        <f t="shared" si="4"/>
        <v>NEED FORM</v>
      </c>
      <c r="H132" s="64"/>
      <c r="J132" s="118" t="s">
        <v>898</v>
      </c>
      <c r="K132" s="63" t="s">
        <v>899</v>
      </c>
      <c r="M132" s="63" t="s">
        <v>625</v>
      </c>
      <c r="N132" s="65">
        <v>10</v>
      </c>
      <c r="O132" s="63">
        <v>163.30000000000001</v>
      </c>
      <c r="P132" s="109">
        <f t="shared" si="5"/>
        <v>1633</v>
      </c>
      <c r="R132" s="62"/>
      <c r="S132" s="66"/>
      <c r="T132" s="62"/>
    </row>
    <row r="133" spans="1:25" s="25" customFormat="1" x14ac:dyDescent="0.25">
      <c r="A133" s="23">
        <v>131</v>
      </c>
      <c r="B133" s="24">
        <v>44985</v>
      </c>
      <c r="C133" s="24">
        <v>44985</v>
      </c>
      <c r="D133" s="25" t="s">
        <v>316</v>
      </c>
      <c r="E133" s="25" t="s">
        <v>630</v>
      </c>
      <c r="F133" s="25" t="s">
        <v>631</v>
      </c>
      <c r="G133" s="79">
        <f t="shared" si="4"/>
        <v>44927</v>
      </c>
      <c r="H133" s="14">
        <v>4323336181</v>
      </c>
      <c r="J133" s="19" t="s">
        <v>632</v>
      </c>
      <c r="K133" s="25" t="s">
        <v>633</v>
      </c>
      <c r="L133" s="25" t="s">
        <v>144</v>
      </c>
      <c r="M133" s="25" t="s">
        <v>610</v>
      </c>
      <c r="N133" s="25">
        <v>50</v>
      </c>
      <c r="O133" s="25">
        <v>181.44</v>
      </c>
      <c r="P133" s="106">
        <f t="shared" si="5"/>
        <v>9072</v>
      </c>
      <c r="R133" s="24">
        <v>44985</v>
      </c>
      <c r="S133" s="26" t="s">
        <v>900</v>
      </c>
      <c r="T133" s="24">
        <v>45026</v>
      </c>
      <c r="U133" s="25">
        <v>50</v>
      </c>
      <c r="V133" s="25" t="s">
        <v>683</v>
      </c>
    </row>
    <row r="134" spans="1:25" s="25" customFormat="1" x14ac:dyDescent="0.25">
      <c r="A134" s="23">
        <v>131</v>
      </c>
      <c r="B134" s="24">
        <v>44985</v>
      </c>
      <c r="C134" s="24">
        <v>44985</v>
      </c>
      <c r="D134" s="25" t="s">
        <v>316</v>
      </c>
      <c r="E134" s="25" t="s">
        <v>630</v>
      </c>
      <c r="F134" s="25" t="s">
        <v>631</v>
      </c>
      <c r="G134" s="79">
        <f t="shared" si="4"/>
        <v>44927</v>
      </c>
      <c r="H134" s="14">
        <v>4323336181</v>
      </c>
      <c r="J134" s="19" t="s">
        <v>632</v>
      </c>
      <c r="K134" s="25" t="s">
        <v>633</v>
      </c>
      <c r="L134" s="25" t="s">
        <v>144</v>
      </c>
      <c r="M134" s="25" t="s">
        <v>611</v>
      </c>
      <c r="N134" s="25">
        <v>35</v>
      </c>
      <c r="O134" s="25">
        <v>181.44</v>
      </c>
      <c r="P134" s="106">
        <f t="shared" si="5"/>
        <v>6350.4</v>
      </c>
      <c r="R134" s="24">
        <v>44985</v>
      </c>
      <c r="S134" s="26" t="s">
        <v>900</v>
      </c>
      <c r="T134" s="24">
        <v>45026</v>
      </c>
      <c r="U134" s="25">
        <v>35</v>
      </c>
      <c r="V134" s="25" t="s">
        <v>683</v>
      </c>
    </row>
    <row r="135" spans="1:25" s="30" customFormat="1" x14ac:dyDescent="0.25">
      <c r="A135" s="28">
        <v>132</v>
      </c>
      <c r="B135" s="29">
        <v>44988</v>
      </c>
      <c r="C135" s="29">
        <v>44988</v>
      </c>
      <c r="D135" s="30" t="s">
        <v>303</v>
      </c>
      <c r="E135" s="30" t="s">
        <v>640</v>
      </c>
      <c r="F135" s="30" t="s">
        <v>641</v>
      </c>
      <c r="G135" s="80">
        <f t="shared" si="4"/>
        <v>45359</v>
      </c>
      <c r="H135" s="15">
        <v>3618822564</v>
      </c>
      <c r="J135" s="35" t="s">
        <v>642</v>
      </c>
      <c r="K135" s="30" t="s">
        <v>643</v>
      </c>
      <c r="L135" s="30" t="s">
        <v>144</v>
      </c>
      <c r="M135" s="30" t="s">
        <v>610</v>
      </c>
      <c r="N135" s="30">
        <v>2</v>
      </c>
      <c r="O135" s="30">
        <v>171.07</v>
      </c>
      <c r="P135" s="108">
        <f t="shared" si="5"/>
        <v>342.14</v>
      </c>
      <c r="R135" s="29"/>
      <c r="S135" s="31"/>
      <c r="T135" s="29"/>
    </row>
    <row r="136" spans="1:25" s="30" customFormat="1" x14ac:dyDescent="0.25">
      <c r="A136" s="28">
        <v>133</v>
      </c>
      <c r="B136" s="29">
        <v>44988</v>
      </c>
      <c r="C136" s="29">
        <v>44988</v>
      </c>
      <c r="D136" s="30" t="s">
        <v>303</v>
      </c>
      <c r="E136" s="30" t="s">
        <v>640</v>
      </c>
      <c r="F136" s="30" t="s">
        <v>641</v>
      </c>
      <c r="G136" s="80">
        <f t="shared" si="4"/>
        <v>45359</v>
      </c>
      <c r="H136" s="15">
        <v>3618822565</v>
      </c>
      <c r="J136" s="35" t="s">
        <v>642</v>
      </c>
      <c r="K136" s="30" t="s">
        <v>643</v>
      </c>
      <c r="L136" s="30" t="s">
        <v>144</v>
      </c>
      <c r="M136" s="30" t="s">
        <v>611</v>
      </c>
      <c r="N136" s="30">
        <v>2</v>
      </c>
      <c r="O136" s="30">
        <v>190.08</v>
      </c>
      <c r="P136" s="108">
        <f t="shared" si="5"/>
        <v>380.16</v>
      </c>
      <c r="R136" s="29"/>
      <c r="S136" s="31"/>
      <c r="T136" s="29"/>
    </row>
    <row r="137" spans="1:25" s="25" customFormat="1" x14ac:dyDescent="0.25">
      <c r="A137" s="23">
        <v>134</v>
      </c>
      <c r="B137" s="24">
        <v>44988</v>
      </c>
      <c r="C137" s="24">
        <v>44988</v>
      </c>
      <c r="D137" s="25" t="s">
        <v>183</v>
      </c>
      <c r="E137" s="25" t="s">
        <v>901</v>
      </c>
      <c r="F137" s="25" t="s">
        <v>361</v>
      </c>
      <c r="G137" s="79">
        <f t="shared" si="4"/>
        <v>45336</v>
      </c>
      <c r="H137" s="14">
        <v>7143677024</v>
      </c>
      <c r="J137" s="25" t="s">
        <v>902</v>
      </c>
      <c r="K137" s="25" t="s">
        <v>879</v>
      </c>
      <c r="L137" s="25" t="s">
        <v>174</v>
      </c>
      <c r="M137" s="25" t="s">
        <v>610</v>
      </c>
      <c r="N137" s="25">
        <v>15</v>
      </c>
      <c r="O137" s="25">
        <v>163.30000000000001</v>
      </c>
      <c r="P137" s="106">
        <f t="shared" si="5"/>
        <v>2449.5</v>
      </c>
      <c r="R137" s="24">
        <v>44992</v>
      </c>
      <c r="S137" s="26" t="s">
        <v>903</v>
      </c>
      <c r="T137" s="24">
        <v>45013</v>
      </c>
      <c r="U137" s="25">
        <v>15</v>
      </c>
      <c r="V137" s="25" t="s">
        <v>683</v>
      </c>
    </row>
    <row r="138" spans="1:25" s="25" customFormat="1" x14ac:dyDescent="0.25">
      <c r="A138" s="23">
        <v>135</v>
      </c>
      <c r="B138" s="24">
        <v>44987</v>
      </c>
      <c r="C138" s="24">
        <v>44953</v>
      </c>
      <c r="D138" s="25" t="s">
        <v>666</v>
      </c>
      <c r="E138" s="25" t="s">
        <v>484</v>
      </c>
      <c r="F138" s="25" t="s">
        <v>667</v>
      </c>
      <c r="G138" s="79">
        <f t="shared" si="4"/>
        <v>45310</v>
      </c>
      <c r="H138" s="14">
        <v>4092423351</v>
      </c>
      <c r="J138" s="19" t="s">
        <v>668</v>
      </c>
      <c r="K138" s="25" t="s">
        <v>669</v>
      </c>
      <c r="L138" s="25" t="s">
        <v>144</v>
      </c>
      <c r="M138" s="25" t="s">
        <v>608</v>
      </c>
      <c r="N138" s="25">
        <v>2</v>
      </c>
      <c r="O138" s="25">
        <v>176.36</v>
      </c>
      <c r="P138" s="106">
        <f t="shared" si="5"/>
        <v>352.75</v>
      </c>
      <c r="Q138" s="32">
        <v>0.03</v>
      </c>
      <c r="R138" s="24">
        <v>44987</v>
      </c>
      <c r="S138" s="26" t="s">
        <v>904</v>
      </c>
      <c r="T138" s="24">
        <v>45012</v>
      </c>
      <c r="U138" s="25">
        <v>2</v>
      </c>
      <c r="V138" s="25" t="s">
        <v>803</v>
      </c>
      <c r="Y138" s="25" t="s">
        <v>671</v>
      </c>
    </row>
    <row r="139" spans="1:25" s="38" customFormat="1" x14ac:dyDescent="0.25">
      <c r="A139" s="36">
        <v>136</v>
      </c>
      <c r="B139" s="37">
        <v>44994</v>
      </c>
      <c r="C139" s="37">
        <v>44994</v>
      </c>
      <c r="D139" s="123" t="s">
        <v>203</v>
      </c>
      <c r="E139" s="38" t="s">
        <v>905</v>
      </c>
      <c r="F139" s="38" t="s">
        <v>750</v>
      </c>
      <c r="G139" s="86" t="str">
        <f t="shared" si="4"/>
        <v>NEED FORM</v>
      </c>
      <c r="H139" s="16">
        <v>5102423352</v>
      </c>
      <c r="J139" s="19" t="s">
        <v>906</v>
      </c>
      <c r="K139" s="38" t="s">
        <v>280</v>
      </c>
      <c r="L139" s="38" t="s">
        <v>174</v>
      </c>
      <c r="M139" s="38" t="s">
        <v>610</v>
      </c>
      <c r="N139" s="38">
        <v>6</v>
      </c>
      <c r="O139" s="38">
        <v>167.18</v>
      </c>
      <c r="P139" s="106">
        <f t="shared" si="5"/>
        <v>1343.1200000000001</v>
      </c>
      <c r="Q139" s="38">
        <v>340.04</v>
      </c>
      <c r="R139" s="37">
        <v>44995</v>
      </c>
      <c r="S139" s="39" t="s">
        <v>907</v>
      </c>
      <c r="T139" s="37">
        <v>45002</v>
      </c>
      <c r="U139" s="38">
        <v>6</v>
      </c>
      <c r="V139" s="38" t="s">
        <v>803</v>
      </c>
    </row>
    <row r="140" spans="1:25" s="30" customFormat="1" x14ac:dyDescent="0.25">
      <c r="A140" s="28">
        <v>137</v>
      </c>
      <c r="B140" s="29">
        <v>44999</v>
      </c>
      <c r="C140" s="29">
        <v>44999</v>
      </c>
      <c r="D140" s="30" t="s">
        <v>113</v>
      </c>
      <c r="E140" s="30" t="s">
        <v>908</v>
      </c>
      <c r="F140" s="30" t="s">
        <v>909</v>
      </c>
      <c r="G140" s="80" t="str">
        <f t="shared" si="4"/>
        <v>NEED FORM</v>
      </c>
      <c r="H140" s="15">
        <v>4232298651</v>
      </c>
      <c r="J140" s="30" t="s">
        <v>910</v>
      </c>
      <c r="K140" s="30" t="s">
        <v>887</v>
      </c>
      <c r="L140" s="30" t="s">
        <v>112</v>
      </c>
      <c r="M140" s="30" t="s">
        <v>610</v>
      </c>
      <c r="N140" s="30">
        <v>1</v>
      </c>
      <c r="O140" s="30">
        <v>222.48</v>
      </c>
      <c r="P140" s="108">
        <f t="shared" si="5"/>
        <v>222.51</v>
      </c>
      <c r="Q140" s="46">
        <v>0.03</v>
      </c>
      <c r="R140" s="29"/>
      <c r="S140" s="31"/>
      <c r="T140" s="29"/>
      <c r="Y140" s="30" t="s">
        <v>889</v>
      </c>
    </row>
    <row r="141" spans="1:25" s="30" customFormat="1" x14ac:dyDescent="0.25">
      <c r="A141" s="28">
        <v>138</v>
      </c>
      <c r="B141" s="29">
        <v>44999</v>
      </c>
      <c r="C141" s="29">
        <v>44999</v>
      </c>
      <c r="D141" s="30" t="s">
        <v>113</v>
      </c>
      <c r="E141" s="30" t="s">
        <v>908</v>
      </c>
      <c r="F141" s="30" t="s">
        <v>909</v>
      </c>
      <c r="G141" s="80" t="str">
        <f t="shared" si="4"/>
        <v>NEED FORM</v>
      </c>
      <c r="H141" s="15">
        <v>4232298651</v>
      </c>
      <c r="J141" s="30" t="s">
        <v>910</v>
      </c>
      <c r="K141" s="30" t="s">
        <v>887</v>
      </c>
      <c r="L141" s="30" t="s">
        <v>112</v>
      </c>
      <c r="M141" s="30" t="s">
        <v>746</v>
      </c>
      <c r="N141" s="116">
        <v>1</v>
      </c>
      <c r="O141" s="30">
        <v>155.74</v>
      </c>
      <c r="P141" s="108">
        <f t="shared" si="5"/>
        <v>155.77000000000001</v>
      </c>
      <c r="Q141" s="46">
        <v>0.03</v>
      </c>
      <c r="R141" s="29"/>
      <c r="S141" s="31"/>
      <c r="T141" s="29"/>
      <c r="Y141" s="30" t="s">
        <v>889</v>
      </c>
    </row>
    <row r="142" spans="1:25" s="30" customFormat="1" x14ac:dyDescent="0.25">
      <c r="A142" s="28">
        <v>139</v>
      </c>
      <c r="B142" s="29">
        <v>45001</v>
      </c>
      <c r="C142" s="29">
        <v>45001</v>
      </c>
      <c r="D142" s="30" t="s">
        <v>384</v>
      </c>
      <c r="E142" s="30" t="s">
        <v>484</v>
      </c>
      <c r="F142" s="30" t="s">
        <v>631</v>
      </c>
      <c r="G142" s="80">
        <f t="shared" si="4"/>
        <v>44927</v>
      </c>
      <c r="H142" s="15">
        <v>5753922760</v>
      </c>
      <c r="J142" s="35" t="s">
        <v>911</v>
      </c>
      <c r="K142" s="30" t="s">
        <v>912</v>
      </c>
      <c r="L142" s="30" t="s">
        <v>913</v>
      </c>
      <c r="M142" s="30" t="s">
        <v>610</v>
      </c>
      <c r="N142" s="30">
        <v>5</v>
      </c>
      <c r="O142" s="30">
        <v>167.18</v>
      </c>
      <c r="P142" s="108">
        <f t="shared" si="5"/>
        <v>835.90000000000009</v>
      </c>
      <c r="R142" s="29"/>
      <c r="S142" s="31"/>
      <c r="T142" s="29"/>
    </row>
    <row r="143" spans="1:25" s="25" customFormat="1" x14ac:dyDescent="0.25">
      <c r="A143" s="23">
        <v>140</v>
      </c>
      <c r="B143" s="24">
        <v>45001</v>
      </c>
      <c r="C143" s="24">
        <v>45001</v>
      </c>
      <c r="D143" s="25" t="s">
        <v>234</v>
      </c>
      <c r="E143" s="25" t="s">
        <v>877</v>
      </c>
      <c r="F143" s="25" t="s">
        <v>361</v>
      </c>
      <c r="G143" s="79">
        <f t="shared" si="4"/>
        <v>45336</v>
      </c>
      <c r="H143" s="14">
        <v>7143677024</v>
      </c>
      <c r="J143" s="25" t="s">
        <v>878</v>
      </c>
      <c r="K143" s="25" t="s">
        <v>879</v>
      </c>
      <c r="L143" s="25" t="s">
        <v>174</v>
      </c>
      <c r="M143" s="25" t="s">
        <v>610</v>
      </c>
      <c r="N143" s="25">
        <v>20</v>
      </c>
      <c r="O143" s="25">
        <v>163.30000000000001</v>
      </c>
      <c r="P143" s="106">
        <f t="shared" si="5"/>
        <v>3266</v>
      </c>
      <c r="R143" s="24">
        <v>45002</v>
      </c>
      <c r="S143" s="26" t="s">
        <v>914</v>
      </c>
      <c r="T143" s="24">
        <v>45023</v>
      </c>
      <c r="U143" s="25">
        <v>20</v>
      </c>
      <c r="V143" s="25" t="s">
        <v>683</v>
      </c>
    </row>
    <row r="144" spans="1:25" s="25" customFormat="1" x14ac:dyDescent="0.25">
      <c r="A144" s="23">
        <v>141</v>
      </c>
      <c r="B144" s="24">
        <v>45001</v>
      </c>
      <c r="C144" s="24">
        <v>45001</v>
      </c>
      <c r="D144" s="25" t="s">
        <v>234</v>
      </c>
      <c r="E144" s="25" t="s">
        <v>877</v>
      </c>
      <c r="F144" s="25" t="s">
        <v>361</v>
      </c>
      <c r="G144" s="79">
        <f t="shared" si="4"/>
        <v>45336</v>
      </c>
      <c r="H144" s="14">
        <v>7143677024</v>
      </c>
      <c r="J144" s="25" t="s">
        <v>878</v>
      </c>
      <c r="K144" s="25" t="s">
        <v>879</v>
      </c>
      <c r="L144" s="25" t="s">
        <v>174</v>
      </c>
      <c r="M144" s="25" t="s">
        <v>611</v>
      </c>
      <c r="N144" s="25">
        <v>20</v>
      </c>
      <c r="O144" s="25">
        <v>181.44</v>
      </c>
      <c r="P144" s="106">
        <f t="shared" si="5"/>
        <v>3628.8</v>
      </c>
      <c r="R144" s="24">
        <v>45002</v>
      </c>
      <c r="S144" s="26" t="s">
        <v>914</v>
      </c>
      <c r="T144" s="24">
        <v>45023</v>
      </c>
      <c r="U144" s="25">
        <v>20</v>
      </c>
      <c r="V144" s="25" t="s">
        <v>683</v>
      </c>
    </row>
    <row r="145" spans="1:25" s="25" customFormat="1" x14ac:dyDescent="0.25">
      <c r="A145" s="23">
        <v>142</v>
      </c>
      <c r="B145" s="24">
        <v>45007</v>
      </c>
      <c r="C145" s="24">
        <v>45007</v>
      </c>
      <c r="D145" s="25" t="s">
        <v>234</v>
      </c>
      <c r="E145" s="25" t="s">
        <v>877</v>
      </c>
      <c r="F145" s="25" t="s">
        <v>361</v>
      </c>
      <c r="G145" s="79">
        <f t="shared" si="4"/>
        <v>45336</v>
      </c>
      <c r="H145" s="14">
        <v>7143677024</v>
      </c>
      <c r="J145" s="25" t="s">
        <v>878</v>
      </c>
      <c r="K145" s="25" t="s">
        <v>879</v>
      </c>
      <c r="L145" s="25" t="s">
        <v>174</v>
      </c>
      <c r="M145" s="25" t="s">
        <v>915</v>
      </c>
      <c r="N145" s="25">
        <v>25</v>
      </c>
      <c r="O145" s="25">
        <v>175.48</v>
      </c>
      <c r="P145" s="106">
        <f t="shared" si="5"/>
        <v>4387</v>
      </c>
      <c r="R145" s="24">
        <v>45002</v>
      </c>
      <c r="S145" s="26" t="s">
        <v>916</v>
      </c>
      <c r="T145" s="24">
        <v>45029</v>
      </c>
      <c r="U145" s="25">
        <v>25</v>
      </c>
      <c r="V145" s="25" t="s">
        <v>683</v>
      </c>
    </row>
    <row r="146" spans="1:25" s="25" customFormat="1" x14ac:dyDescent="0.25">
      <c r="A146" s="23">
        <v>143</v>
      </c>
      <c r="B146" s="24">
        <v>45007</v>
      </c>
      <c r="C146" s="24">
        <v>45007</v>
      </c>
      <c r="D146" s="25" t="s">
        <v>234</v>
      </c>
      <c r="E146" s="25" t="s">
        <v>877</v>
      </c>
      <c r="F146" s="25" t="s">
        <v>361</v>
      </c>
      <c r="G146" s="79">
        <f t="shared" si="4"/>
        <v>45336</v>
      </c>
      <c r="H146" s="14">
        <v>7143677024</v>
      </c>
      <c r="J146" s="25" t="s">
        <v>878</v>
      </c>
      <c r="K146" s="25" t="s">
        <v>879</v>
      </c>
      <c r="L146" s="25" t="s">
        <v>174</v>
      </c>
      <c r="M146" s="25" t="s">
        <v>610</v>
      </c>
      <c r="N146" s="25">
        <v>20</v>
      </c>
      <c r="O146" s="25">
        <v>163.30000000000001</v>
      </c>
      <c r="P146" s="106">
        <f t="shared" si="5"/>
        <v>3266</v>
      </c>
      <c r="R146" s="24">
        <v>45002</v>
      </c>
      <c r="S146" s="26" t="s">
        <v>916</v>
      </c>
      <c r="T146" s="24">
        <v>45029</v>
      </c>
      <c r="U146" s="25">
        <v>20</v>
      </c>
      <c r="V146" s="25" t="s">
        <v>683</v>
      </c>
    </row>
    <row r="147" spans="1:25" s="25" customFormat="1" x14ac:dyDescent="0.25">
      <c r="A147" s="23">
        <v>144</v>
      </c>
      <c r="B147" s="24">
        <v>45007</v>
      </c>
      <c r="C147" s="24">
        <v>45007</v>
      </c>
      <c r="D147" s="25" t="s">
        <v>234</v>
      </c>
      <c r="E147" s="25" t="s">
        <v>877</v>
      </c>
      <c r="F147" s="25" t="s">
        <v>361</v>
      </c>
      <c r="G147" s="79">
        <f t="shared" si="4"/>
        <v>45336</v>
      </c>
      <c r="H147" s="14">
        <v>7143677024</v>
      </c>
      <c r="J147" s="25" t="s">
        <v>878</v>
      </c>
      <c r="K147" s="25" t="s">
        <v>879</v>
      </c>
      <c r="L147" s="25" t="s">
        <v>174</v>
      </c>
      <c r="M147" s="25" t="s">
        <v>611</v>
      </c>
      <c r="N147" s="25">
        <v>12</v>
      </c>
      <c r="O147" s="25">
        <v>181.44</v>
      </c>
      <c r="P147" s="106">
        <f t="shared" si="5"/>
        <v>2177.2799999999997</v>
      </c>
      <c r="R147" s="24">
        <v>45002</v>
      </c>
      <c r="S147" s="26" t="s">
        <v>916</v>
      </c>
      <c r="T147" s="24">
        <v>45029</v>
      </c>
      <c r="U147" s="25">
        <v>12</v>
      </c>
      <c r="V147" s="25" t="s">
        <v>683</v>
      </c>
    </row>
    <row r="148" spans="1:25" s="25" customFormat="1" x14ac:dyDescent="0.25">
      <c r="A148" s="23">
        <v>145</v>
      </c>
      <c r="B148" s="24">
        <v>45007</v>
      </c>
      <c r="C148" s="24">
        <v>45007</v>
      </c>
      <c r="D148" s="25" t="s">
        <v>666</v>
      </c>
      <c r="E148" s="25" t="s">
        <v>484</v>
      </c>
      <c r="F148" s="25" t="s">
        <v>667</v>
      </c>
      <c r="G148" s="79">
        <f t="shared" si="4"/>
        <v>45310</v>
      </c>
      <c r="H148" s="14">
        <v>4092423351</v>
      </c>
      <c r="J148" s="19" t="s">
        <v>668</v>
      </c>
      <c r="K148" s="25" t="s">
        <v>669</v>
      </c>
      <c r="L148" s="25" t="s">
        <v>144</v>
      </c>
      <c r="M148" s="25" t="s">
        <v>608</v>
      </c>
      <c r="N148" s="25">
        <v>2</v>
      </c>
      <c r="O148" s="25">
        <v>176.36</v>
      </c>
      <c r="P148" s="106">
        <f t="shared" si="5"/>
        <v>352.75</v>
      </c>
      <c r="Q148" s="32">
        <v>0.03</v>
      </c>
      <c r="R148" s="24">
        <v>45007</v>
      </c>
      <c r="S148" s="26" t="s">
        <v>917</v>
      </c>
      <c r="T148" s="24">
        <v>45028</v>
      </c>
      <c r="U148" s="25">
        <v>2</v>
      </c>
      <c r="V148" s="25" t="s">
        <v>803</v>
      </c>
      <c r="Y148" s="25" t="s">
        <v>671</v>
      </c>
    </row>
    <row r="149" spans="1:25" s="30" customFormat="1" x14ac:dyDescent="0.25">
      <c r="A149" s="28">
        <v>146</v>
      </c>
      <c r="B149" s="29">
        <v>45012</v>
      </c>
      <c r="C149" s="29">
        <v>45012</v>
      </c>
      <c r="D149" s="30" t="s">
        <v>482</v>
      </c>
      <c r="E149" s="30" t="s">
        <v>918</v>
      </c>
      <c r="F149" s="30" t="s">
        <v>919</v>
      </c>
      <c r="G149" s="80" t="str">
        <f t="shared" si="4"/>
        <v>NEED FORM</v>
      </c>
      <c r="H149" s="15">
        <v>3037948833</v>
      </c>
      <c r="J149" s="30" t="s">
        <v>920</v>
      </c>
      <c r="K149" s="30" t="s">
        <v>921</v>
      </c>
      <c r="L149" s="30" t="s">
        <v>922</v>
      </c>
      <c r="M149" s="30" t="s">
        <v>610</v>
      </c>
      <c r="N149" s="30">
        <v>4</v>
      </c>
      <c r="O149" s="30">
        <v>171.07</v>
      </c>
      <c r="P149" s="107">
        <f t="shared" si="5"/>
        <v>684.28</v>
      </c>
      <c r="R149" s="29"/>
      <c r="S149" s="31"/>
      <c r="T149" s="29"/>
    </row>
    <row r="150" spans="1:25" s="25" customFormat="1" x14ac:dyDescent="0.25">
      <c r="A150" s="23">
        <v>147</v>
      </c>
      <c r="B150" s="24">
        <v>45015</v>
      </c>
      <c r="C150" s="24">
        <v>45015</v>
      </c>
      <c r="D150" s="25" t="s">
        <v>890</v>
      </c>
      <c r="E150" s="25" t="s">
        <v>891</v>
      </c>
      <c r="F150" s="25" t="s">
        <v>628</v>
      </c>
      <c r="G150" s="79">
        <f t="shared" si="4"/>
        <v>44562</v>
      </c>
      <c r="H150" s="265" t="s">
        <v>894</v>
      </c>
      <c r="J150" s="25" t="s">
        <v>895</v>
      </c>
      <c r="K150" s="67" t="s">
        <v>505</v>
      </c>
      <c r="L150" s="67" t="s">
        <v>144</v>
      </c>
      <c r="M150" s="25" t="s">
        <v>611</v>
      </c>
      <c r="N150" s="25">
        <v>43</v>
      </c>
      <c r="O150" s="25">
        <v>181.44</v>
      </c>
      <c r="P150" s="106">
        <f t="shared" si="5"/>
        <v>7801.95</v>
      </c>
      <c r="Q150" s="69">
        <v>0.03</v>
      </c>
      <c r="R150" s="68">
        <v>45015</v>
      </c>
      <c r="S150" s="26">
        <v>9170108</v>
      </c>
      <c r="T150" s="24">
        <v>45037</v>
      </c>
      <c r="U150" s="25">
        <v>43</v>
      </c>
      <c r="V150" s="25" t="s">
        <v>896</v>
      </c>
    </row>
    <row r="151" spans="1:25" s="25" customFormat="1" x14ac:dyDescent="0.25">
      <c r="A151" s="23">
        <v>148</v>
      </c>
      <c r="B151" s="24">
        <v>45016</v>
      </c>
      <c r="C151" s="24">
        <v>45016</v>
      </c>
      <c r="D151" s="25" t="s">
        <v>620</v>
      </c>
      <c r="E151" s="25" t="s">
        <v>621</v>
      </c>
      <c r="F151" s="25" t="s">
        <v>622</v>
      </c>
      <c r="G151" s="79" t="str">
        <f t="shared" si="4"/>
        <v>Malaysia</v>
      </c>
      <c r="H151" s="14" t="s">
        <v>725</v>
      </c>
      <c r="J151" s="19" t="s">
        <v>623</v>
      </c>
      <c r="K151" s="25" t="s">
        <v>624</v>
      </c>
      <c r="L151" s="25" t="s">
        <v>624</v>
      </c>
      <c r="M151" s="25" t="s">
        <v>625</v>
      </c>
      <c r="N151" s="25">
        <v>15</v>
      </c>
      <c r="O151" s="25">
        <v>176.36</v>
      </c>
      <c r="P151" s="106">
        <f t="shared" si="5"/>
        <v>2685.4</v>
      </c>
      <c r="Q151" s="25">
        <v>40</v>
      </c>
      <c r="R151" s="24">
        <v>44853</v>
      </c>
      <c r="S151" s="26" t="s">
        <v>923</v>
      </c>
      <c r="T151" s="24">
        <v>45117</v>
      </c>
      <c r="U151" s="25">
        <v>15</v>
      </c>
      <c r="V151" s="25" t="s">
        <v>924</v>
      </c>
      <c r="Y151" s="25" t="s">
        <v>925</v>
      </c>
    </row>
    <row r="152" spans="1:25" s="25" customFormat="1" x14ac:dyDescent="0.25">
      <c r="A152" s="23">
        <v>149</v>
      </c>
      <c r="B152" s="24">
        <v>45021</v>
      </c>
      <c r="C152" s="24">
        <v>45021</v>
      </c>
      <c r="D152" s="25" t="s">
        <v>666</v>
      </c>
      <c r="E152" s="25" t="s">
        <v>484</v>
      </c>
      <c r="F152" s="25" t="s">
        <v>667</v>
      </c>
      <c r="G152" s="79">
        <f t="shared" si="4"/>
        <v>45310</v>
      </c>
      <c r="H152" s="14">
        <v>4092423351</v>
      </c>
      <c r="J152" s="19" t="s">
        <v>668</v>
      </c>
      <c r="K152" s="25" t="s">
        <v>669</v>
      </c>
      <c r="L152" s="25" t="s">
        <v>144</v>
      </c>
      <c r="M152" s="25" t="s">
        <v>610</v>
      </c>
      <c r="N152" s="25">
        <v>2</v>
      </c>
      <c r="O152" s="25">
        <v>176.2</v>
      </c>
      <c r="P152" s="106">
        <f t="shared" si="5"/>
        <v>352.42999999999995</v>
      </c>
      <c r="Q152" s="32">
        <v>0.03</v>
      </c>
      <c r="R152" s="24">
        <v>45029</v>
      </c>
      <c r="S152" s="26" t="s">
        <v>926</v>
      </c>
      <c r="T152" s="24">
        <v>45051</v>
      </c>
      <c r="U152" s="25">
        <v>2</v>
      </c>
      <c r="V152" s="25" t="s">
        <v>803</v>
      </c>
      <c r="Y152" s="25" t="s">
        <v>671</v>
      </c>
    </row>
    <row r="153" spans="1:25" s="25" customFormat="1" x14ac:dyDescent="0.25">
      <c r="A153" s="23">
        <v>150</v>
      </c>
      <c r="B153" s="24">
        <v>45028</v>
      </c>
      <c r="C153" s="24">
        <v>45028</v>
      </c>
      <c r="D153" s="25" t="s">
        <v>234</v>
      </c>
      <c r="E153" s="25" t="s">
        <v>877</v>
      </c>
      <c r="F153" s="25" t="s">
        <v>361</v>
      </c>
      <c r="G153" s="79">
        <f t="shared" si="4"/>
        <v>45336</v>
      </c>
      <c r="H153" s="14">
        <v>7143677024</v>
      </c>
      <c r="J153" s="25" t="s">
        <v>878</v>
      </c>
      <c r="K153" s="25" t="s">
        <v>879</v>
      </c>
      <c r="L153" s="25" t="s">
        <v>174</v>
      </c>
      <c r="M153" s="25" t="s">
        <v>611</v>
      </c>
      <c r="N153" s="25">
        <v>5</v>
      </c>
      <c r="O153" s="25">
        <v>185.76</v>
      </c>
      <c r="P153" s="106">
        <f t="shared" si="5"/>
        <v>928.8</v>
      </c>
      <c r="R153" s="24">
        <v>45029</v>
      </c>
      <c r="S153" s="26" t="s">
        <v>927</v>
      </c>
      <c r="T153" s="24">
        <v>45050</v>
      </c>
      <c r="U153" s="25">
        <v>5</v>
      </c>
      <c r="V153" s="25" t="s">
        <v>683</v>
      </c>
    </row>
    <row r="154" spans="1:25" s="25" customFormat="1" x14ac:dyDescent="0.25">
      <c r="A154" s="23">
        <v>151</v>
      </c>
      <c r="B154" s="24">
        <v>45029</v>
      </c>
      <c r="C154" s="24">
        <v>45029</v>
      </c>
      <c r="D154" s="25" t="s">
        <v>666</v>
      </c>
      <c r="E154" s="25" t="s">
        <v>484</v>
      </c>
      <c r="F154" s="25" t="s">
        <v>667</v>
      </c>
      <c r="G154" s="79">
        <f t="shared" si="4"/>
        <v>45310</v>
      </c>
      <c r="H154" s="14">
        <v>4092423351</v>
      </c>
      <c r="J154" s="19" t="s">
        <v>668</v>
      </c>
      <c r="K154" s="25" t="s">
        <v>669</v>
      </c>
      <c r="L154" s="25" t="s">
        <v>144</v>
      </c>
      <c r="M154" s="25" t="s">
        <v>608</v>
      </c>
      <c r="N154" s="25">
        <v>2</v>
      </c>
      <c r="O154" s="25">
        <v>176.36</v>
      </c>
      <c r="P154" s="106">
        <f t="shared" si="5"/>
        <v>352.75</v>
      </c>
      <c r="Q154" s="32">
        <v>0.03</v>
      </c>
      <c r="R154" s="24">
        <v>45029</v>
      </c>
      <c r="S154" s="26" t="s">
        <v>926</v>
      </c>
      <c r="T154" s="24">
        <v>45051</v>
      </c>
      <c r="U154" s="25">
        <v>2</v>
      </c>
      <c r="V154" s="25" t="s">
        <v>803</v>
      </c>
      <c r="Y154" s="25" t="s">
        <v>671</v>
      </c>
    </row>
    <row r="155" spans="1:25" s="25" customFormat="1" x14ac:dyDescent="0.25">
      <c r="A155" s="23">
        <v>152</v>
      </c>
      <c r="B155" s="24">
        <v>45033</v>
      </c>
      <c r="C155" s="24">
        <v>45033</v>
      </c>
      <c r="D155" s="25" t="s">
        <v>666</v>
      </c>
      <c r="E155" s="25" t="s">
        <v>484</v>
      </c>
      <c r="F155" s="25" t="s">
        <v>667</v>
      </c>
      <c r="G155" s="79">
        <f t="shared" si="4"/>
        <v>45310</v>
      </c>
      <c r="H155" s="14">
        <v>4092423351</v>
      </c>
      <c r="J155" s="19" t="s">
        <v>668</v>
      </c>
      <c r="K155" s="25" t="s">
        <v>669</v>
      </c>
      <c r="L155" s="25" t="s">
        <v>144</v>
      </c>
      <c r="M155" s="25" t="s">
        <v>608</v>
      </c>
      <c r="N155" s="25">
        <v>2</v>
      </c>
      <c r="O155" s="25">
        <v>176.36</v>
      </c>
      <c r="P155" s="106">
        <f t="shared" si="5"/>
        <v>352.75</v>
      </c>
      <c r="Q155" s="32">
        <v>0.03</v>
      </c>
      <c r="R155" s="24">
        <v>45029</v>
      </c>
      <c r="S155" s="26" t="s">
        <v>928</v>
      </c>
      <c r="T155" s="24">
        <v>45055</v>
      </c>
      <c r="U155" s="25">
        <v>2</v>
      </c>
      <c r="V155" s="25" t="s">
        <v>803</v>
      </c>
      <c r="Y155" s="25" t="s">
        <v>671</v>
      </c>
    </row>
    <row r="156" spans="1:25" s="25" customFormat="1" x14ac:dyDescent="0.25">
      <c r="A156" s="23">
        <v>153</v>
      </c>
      <c r="B156" s="24">
        <v>45036</v>
      </c>
      <c r="C156" s="24">
        <v>45036</v>
      </c>
      <c r="D156" s="25" t="s">
        <v>666</v>
      </c>
      <c r="E156" s="25" t="s">
        <v>484</v>
      </c>
      <c r="F156" s="25" t="s">
        <v>667</v>
      </c>
      <c r="G156" s="79">
        <f t="shared" si="4"/>
        <v>45310</v>
      </c>
      <c r="H156" s="14">
        <v>4092423351</v>
      </c>
      <c r="J156" s="19" t="s">
        <v>668</v>
      </c>
      <c r="K156" s="25" t="s">
        <v>669</v>
      </c>
      <c r="L156" s="25" t="s">
        <v>144</v>
      </c>
      <c r="M156" s="25" t="s">
        <v>610</v>
      </c>
      <c r="N156" s="25">
        <v>2</v>
      </c>
      <c r="O156" s="25">
        <v>176.3</v>
      </c>
      <c r="P156" s="106">
        <f t="shared" si="5"/>
        <v>352.63</v>
      </c>
      <c r="Q156" s="32">
        <v>0.03</v>
      </c>
      <c r="R156" s="24">
        <v>45029</v>
      </c>
      <c r="S156" s="26" t="s">
        <v>929</v>
      </c>
      <c r="T156" s="24">
        <v>45058</v>
      </c>
      <c r="U156" s="25">
        <v>2</v>
      </c>
      <c r="V156" s="25" t="s">
        <v>803</v>
      </c>
      <c r="Y156" s="25" t="s">
        <v>671</v>
      </c>
    </row>
    <row r="157" spans="1:25" s="25" customFormat="1" x14ac:dyDescent="0.25">
      <c r="A157" s="23">
        <v>154</v>
      </c>
      <c r="B157" s="24">
        <v>45041</v>
      </c>
      <c r="C157" s="24">
        <v>45041</v>
      </c>
      <c r="D157" s="25" t="s">
        <v>234</v>
      </c>
      <c r="E157" s="25" t="s">
        <v>877</v>
      </c>
      <c r="F157" s="25" t="s">
        <v>361</v>
      </c>
      <c r="G157" s="79">
        <f t="shared" si="4"/>
        <v>45336</v>
      </c>
      <c r="H157" s="14">
        <v>7143677024</v>
      </c>
      <c r="J157" s="25" t="s">
        <v>878</v>
      </c>
      <c r="K157" s="25" t="s">
        <v>879</v>
      </c>
      <c r="L157" s="25" t="s">
        <v>174</v>
      </c>
      <c r="M157" s="25" t="s">
        <v>611</v>
      </c>
      <c r="N157" s="25">
        <v>5</v>
      </c>
      <c r="O157" s="25">
        <v>185.76</v>
      </c>
      <c r="P157" s="106">
        <f t="shared" si="5"/>
        <v>928.8</v>
      </c>
      <c r="R157" s="24">
        <v>45029</v>
      </c>
      <c r="S157" s="26" t="s">
        <v>409</v>
      </c>
      <c r="T157" s="24">
        <v>45058</v>
      </c>
      <c r="U157" s="25">
        <v>5</v>
      </c>
      <c r="V157" s="25" t="s">
        <v>683</v>
      </c>
    </row>
    <row r="158" spans="1:25" s="25" customFormat="1" x14ac:dyDescent="0.25">
      <c r="A158" s="23">
        <v>155</v>
      </c>
      <c r="B158" s="24">
        <v>45047</v>
      </c>
      <c r="C158" s="24">
        <v>45047</v>
      </c>
      <c r="D158" s="25" t="s">
        <v>234</v>
      </c>
      <c r="E158" s="25" t="s">
        <v>877</v>
      </c>
      <c r="F158" s="25" t="s">
        <v>361</v>
      </c>
      <c r="G158" s="79">
        <f t="shared" si="4"/>
        <v>45336</v>
      </c>
      <c r="H158" s="14">
        <v>7143677024</v>
      </c>
      <c r="J158" s="25" t="s">
        <v>878</v>
      </c>
      <c r="K158" s="25" t="s">
        <v>879</v>
      </c>
      <c r="L158" s="25" t="s">
        <v>174</v>
      </c>
      <c r="M158" s="25" t="s">
        <v>610</v>
      </c>
      <c r="N158" s="25">
        <v>2</v>
      </c>
      <c r="O158" s="25">
        <v>184.76</v>
      </c>
      <c r="P158" s="106">
        <f t="shared" si="5"/>
        <v>369.52</v>
      </c>
      <c r="R158" s="24">
        <v>45029</v>
      </c>
      <c r="S158" s="26" t="s">
        <v>409</v>
      </c>
      <c r="T158" s="24">
        <v>45058</v>
      </c>
      <c r="U158" s="25">
        <v>2</v>
      </c>
      <c r="V158" s="25" t="s">
        <v>683</v>
      </c>
    </row>
    <row r="159" spans="1:25" s="30" customFormat="1" x14ac:dyDescent="0.25">
      <c r="A159" s="28">
        <v>156</v>
      </c>
      <c r="B159" s="29">
        <v>45049</v>
      </c>
      <c r="C159" s="29">
        <v>45049</v>
      </c>
      <c r="D159" s="30" t="s">
        <v>865</v>
      </c>
      <c r="E159" s="30" t="s">
        <v>461</v>
      </c>
      <c r="F159" s="30" t="s">
        <v>788</v>
      </c>
      <c r="G159" s="80">
        <f t="shared" si="4"/>
        <v>45597</v>
      </c>
      <c r="H159" s="15">
        <v>4323682207</v>
      </c>
      <c r="J159" s="21" t="s">
        <v>930</v>
      </c>
      <c r="K159" s="30" t="s">
        <v>633</v>
      </c>
      <c r="L159" s="30" t="s">
        <v>144</v>
      </c>
      <c r="M159" s="30" t="s">
        <v>610</v>
      </c>
      <c r="N159" s="30">
        <v>2</v>
      </c>
      <c r="O159" s="30">
        <v>184.76</v>
      </c>
      <c r="P159" s="107">
        <f t="shared" si="5"/>
        <v>369.52</v>
      </c>
      <c r="R159" s="29"/>
      <c r="S159" s="31"/>
      <c r="T159" s="29"/>
    </row>
    <row r="160" spans="1:25" s="30" customFormat="1" x14ac:dyDescent="0.25">
      <c r="A160" s="28">
        <v>157</v>
      </c>
      <c r="B160" s="29">
        <v>45050</v>
      </c>
      <c r="C160" s="29">
        <v>45050</v>
      </c>
      <c r="D160" s="30" t="s">
        <v>186</v>
      </c>
      <c r="E160" s="30" t="s">
        <v>843</v>
      </c>
      <c r="F160" s="30" t="s">
        <v>628</v>
      </c>
      <c r="G160" s="80">
        <f t="shared" si="4"/>
        <v>44562</v>
      </c>
      <c r="H160" s="15">
        <v>4323682207</v>
      </c>
      <c r="J160" s="21" t="s">
        <v>845</v>
      </c>
      <c r="K160" s="30" t="s">
        <v>846</v>
      </c>
      <c r="L160" s="30" t="s">
        <v>650</v>
      </c>
      <c r="M160" s="30" t="s">
        <v>610</v>
      </c>
      <c r="N160" s="30">
        <v>2</v>
      </c>
      <c r="O160" s="30">
        <v>184.76</v>
      </c>
      <c r="P160" s="107">
        <f t="shared" si="5"/>
        <v>369.52</v>
      </c>
      <c r="R160" s="29"/>
      <c r="S160" s="31"/>
      <c r="T160" s="29"/>
    </row>
    <row r="161" spans="1:25" s="25" customFormat="1" x14ac:dyDescent="0.25">
      <c r="A161" s="23">
        <v>158</v>
      </c>
      <c r="B161" s="24">
        <v>45050</v>
      </c>
      <c r="C161" s="24">
        <v>45050</v>
      </c>
      <c r="D161" s="25" t="s">
        <v>186</v>
      </c>
      <c r="E161" s="25" t="s">
        <v>931</v>
      </c>
      <c r="F161" s="25" t="s">
        <v>628</v>
      </c>
      <c r="G161" s="79">
        <f t="shared" si="4"/>
        <v>44562</v>
      </c>
      <c r="H161" s="14">
        <v>4323682207</v>
      </c>
      <c r="J161" s="19" t="s">
        <v>845</v>
      </c>
      <c r="K161" s="25" t="s">
        <v>846</v>
      </c>
      <c r="L161" s="25" t="s">
        <v>650</v>
      </c>
      <c r="M161" s="25" t="s">
        <v>610</v>
      </c>
      <c r="N161" s="25">
        <v>2</v>
      </c>
      <c r="O161" s="25">
        <v>190.3</v>
      </c>
      <c r="P161" s="106">
        <f t="shared" si="5"/>
        <v>380.63</v>
      </c>
      <c r="Q161" s="32">
        <v>0.03</v>
      </c>
      <c r="R161" s="24">
        <v>45057</v>
      </c>
      <c r="S161" s="26">
        <v>9220876</v>
      </c>
      <c r="T161" s="24">
        <v>45079</v>
      </c>
      <c r="U161" s="25">
        <v>2</v>
      </c>
      <c r="V161" s="25" t="s">
        <v>896</v>
      </c>
    </row>
    <row r="162" spans="1:25" s="25" customFormat="1" x14ac:dyDescent="0.25">
      <c r="A162" s="23">
        <v>159</v>
      </c>
      <c r="B162" s="24">
        <v>45050</v>
      </c>
      <c r="C162" s="24">
        <v>45036</v>
      </c>
      <c r="D162" s="25" t="s">
        <v>666</v>
      </c>
      <c r="E162" s="25" t="s">
        <v>484</v>
      </c>
      <c r="F162" s="25" t="s">
        <v>667</v>
      </c>
      <c r="G162" s="79">
        <f t="shared" si="4"/>
        <v>45310</v>
      </c>
      <c r="H162" s="14">
        <v>4092423351</v>
      </c>
      <c r="J162" s="19" t="s">
        <v>668</v>
      </c>
      <c r="K162" s="25" t="s">
        <v>669</v>
      </c>
      <c r="L162" s="25" t="s">
        <v>144</v>
      </c>
      <c r="M162" s="25" t="s">
        <v>610</v>
      </c>
      <c r="N162" s="25">
        <v>4</v>
      </c>
      <c r="O162" s="25">
        <v>176.3</v>
      </c>
      <c r="P162" s="106">
        <f t="shared" si="5"/>
        <v>705.23</v>
      </c>
      <c r="Q162" s="32">
        <v>0.03</v>
      </c>
      <c r="R162" s="24">
        <v>45050</v>
      </c>
      <c r="S162" s="26" t="s">
        <v>929</v>
      </c>
      <c r="T162" s="24">
        <v>45072</v>
      </c>
      <c r="U162" s="25">
        <v>4</v>
      </c>
      <c r="V162" s="25" t="s">
        <v>803</v>
      </c>
      <c r="Y162" s="25" t="s">
        <v>671</v>
      </c>
    </row>
    <row r="163" spans="1:25" s="98" customFormat="1" ht="15.75" x14ac:dyDescent="0.25">
      <c r="A163" s="96">
        <v>160</v>
      </c>
      <c r="B163" s="97">
        <v>45050</v>
      </c>
      <c r="C163" s="97"/>
      <c r="D163" s="98" t="s">
        <v>389</v>
      </c>
      <c r="E163" s="98" t="s">
        <v>442</v>
      </c>
      <c r="F163" s="99" t="s">
        <v>824</v>
      </c>
      <c r="G163" s="100" t="str">
        <f t="shared" si="4"/>
        <v>NEED FORM</v>
      </c>
      <c r="H163" s="101">
        <v>886928696007</v>
      </c>
      <c r="J163" s="102" t="s">
        <v>825</v>
      </c>
      <c r="K163" s="103" t="s">
        <v>826</v>
      </c>
      <c r="L163" s="103" t="s">
        <v>827</v>
      </c>
      <c r="M163" s="98" t="s">
        <v>625</v>
      </c>
      <c r="N163" s="98">
        <v>15</v>
      </c>
      <c r="O163" s="98">
        <v>176.36</v>
      </c>
      <c r="P163" s="107">
        <f t="shared" si="5"/>
        <v>2685.4</v>
      </c>
      <c r="Q163" s="98">
        <v>40</v>
      </c>
      <c r="R163" s="97">
        <v>44937</v>
      </c>
      <c r="S163" s="104" t="s">
        <v>828</v>
      </c>
      <c r="T163" s="97"/>
      <c r="Y163" s="98" t="s">
        <v>829</v>
      </c>
    </row>
    <row r="164" spans="1:25" s="25" customFormat="1" x14ac:dyDescent="0.25">
      <c r="A164" s="23">
        <v>161</v>
      </c>
      <c r="B164" s="24">
        <v>45061</v>
      </c>
      <c r="C164" s="24">
        <v>45061</v>
      </c>
      <c r="D164" s="25" t="s">
        <v>234</v>
      </c>
      <c r="E164" s="25" t="s">
        <v>877</v>
      </c>
      <c r="F164" s="25" t="s">
        <v>361</v>
      </c>
      <c r="G164" s="79">
        <f t="shared" si="4"/>
        <v>45336</v>
      </c>
      <c r="H164" s="14">
        <v>7143677024</v>
      </c>
      <c r="J164" s="25" t="s">
        <v>878</v>
      </c>
      <c r="K164" s="25" t="s">
        <v>879</v>
      </c>
      <c r="L164" s="25" t="s">
        <v>174</v>
      </c>
      <c r="M164" s="25" t="s">
        <v>610</v>
      </c>
      <c r="N164" s="25">
        <v>5</v>
      </c>
      <c r="O164" s="25">
        <v>184.76</v>
      </c>
      <c r="P164" s="106">
        <f t="shared" si="5"/>
        <v>923.8</v>
      </c>
      <c r="R164" s="24">
        <v>45061</v>
      </c>
      <c r="S164" s="26" t="s">
        <v>932</v>
      </c>
      <c r="T164" s="24">
        <v>45083</v>
      </c>
      <c r="U164" s="25">
        <v>5</v>
      </c>
      <c r="V164" s="25" t="s">
        <v>683</v>
      </c>
    </row>
    <row r="165" spans="1:25" s="25" customFormat="1" ht="15" customHeight="1" x14ac:dyDescent="0.25">
      <c r="A165" s="23">
        <v>162</v>
      </c>
      <c r="B165" s="24">
        <v>45061</v>
      </c>
      <c r="C165" s="24">
        <v>45063</v>
      </c>
      <c r="D165" s="25" t="s">
        <v>508</v>
      </c>
      <c r="E165" s="25" t="s">
        <v>658</v>
      </c>
      <c r="F165" s="27" t="s">
        <v>659</v>
      </c>
      <c r="G165" s="81">
        <f t="shared" si="4"/>
        <v>45637</v>
      </c>
      <c r="H165" s="14">
        <v>8458965973</v>
      </c>
      <c r="J165" s="19" t="s">
        <v>660</v>
      </c>
      <c r="M165" s="25" t="s">
        <v>610</v>
      </c>
      <c r="N165" s="25">
        <v>2</v>
      </c>
      <c r="O165" s="25">
        <v>184.76</v>
      </c>
      <c r="P165" s="106">
        <f t="shared" si="5"/>
        <v>369.52</v>
      </c>
      <c r="R165" s="24">
        <v>45061</v>
      </c>
      <c r="S165" s="26" t="s">
        <v>933</v>
      </c>
      <c r="T165" s="24">
        <v>45085</v>
      </c>
      <c r="U165" s="25">
        <v>2</v>
      </c>
    </row>
    <row r="166" spans="1:25" s="25" customFormat="1" ht="15" customHeight="1" x14ac:dyDescent="0.25">
      <c r="A166" s="23">
        <v>163</v>
      </c>
      <c r="B166" s="24">
        <v>45061</v>
      </c>
      <c r="C166" s="24">
        <v>45063</v>
      </c>
      <c r="D166" s="25" t="s">
        <v>508</v>
      </c>
      <c r="E166" s="25" t="s">
        <v>658</v>
      </c>
      <c r="F166" s="27" t="s">
        <v>659</v>
      </c>
      <c r="G166" s="81">
        <f t="shared" si="4"/>
        <v>45637</v>
      </c>
      <c r="H166" s="14">
        <v>8458965973</v>
      </c>
      <c r="J166" s="19" t="s">
        <v>660</v>
      </c>
      <c r="M166" s="25" t="s">
        <v>934</v>
      </c>
      <c r="N166" s="115">
        <v>3</v>
      </c>
      <c r="O166" s="25">
        <v>139.38</v>
      </c>
      <c r="P166" s="106">
        <f t="shared" si="5"/>
        <v>418.14</v>
      </c>
      <c r="R166" s="24">
        <v>45061</v>
      </c>
      <c r="S166" s="26" t="s">
        <v>933</v>
      </c>
      <c r="T166" s="24">
        <v>45085</v>
      </c>
      <c r="U166" s="25">
        <v>3</v>
      </c>
    </row>
    <row r="167" spans="1:25" s="25" customFormat="1" x14ac:dyDescent="0.25">
      <c r="A167" s="23">
        <v>164</v>
      </c>
      <c r="B167" s="24">
        <v>45069</v>
      </c>
      <c r="C167" s="24">
        <v>45069</v>
      </c>
      <c r="D167" s="25" t="s">
        <v>290</v>
      </c>
      <c r="E167" s="25" t="s">
        <v>935</v>
      </c>
      <c r="F167" s="25" t="s">
        <v>806</v>
      </c>
      <c r="G167" s="79">
        <f t="shared" si="4"/>
        <v>45425</v>
      </c>
      <c r="H167" s="14">
        <v>4327892313</v>
      </c>
      <c r="J167" s="25" t="s">
        <v>936</v>
      </c>
      <c r="K167" s="25" t="s">
        <v>937</v>
      </c>
      <c r="L167" s="25" t="s">
        <v>938</v>
      </c>
      <c r="M167" s="25" t="s">
        <v>611</v>
      </c>
      <c r="N167" s="25">
        <v>2</v>
      </c>
      <c r="O167" s="25">
        <v>205.29</v>
      </c>
      <c r="P167" s="106">
        <f t="shared" si="5"/>
        <v>422.9</v>
      </c>
      <c r="Q167" s="25">
        <v>12.32</v>
      </c>
      <c r="R167" s="24">
        <v>45086</v>
      </c>
      <c r="S167" s="26">
        <v>4300800</v>
      </c>
      <c r="T167" s="24">
        <v>45107</v>
      </c>
      <c r="U167" s="25">
        <v>2</v>
      </c>
      <c r="V167" s="25" t="s">
        <v>803</v>
      </c>
      <c r="Y167" s="25" t="s">
        <v>803</v>
      </c>
    </row>
    <row r="168" spans="1:25" s="25" customFormat="1" x14ac:dyDescent="0.25">
      <c r="A168" s="23">
        <v>165</v>
      </c>
      <c r="B168" s="24">
        <v>45076</v>
      </c>
      <c r="C168" s="24">
        <v>45076</v>
      </c>
      <c r="D168" s="25" t="s">
        <v>939</v>
      </c>
      <c r="E168" s="25" t="s">
        <v>940</v>
      </c>
      <c r="F168" s="25" t="s">
        <v>941</v>
      </c>
      <c r="G168" s="79" t="str">
        <f t="shared" si="4"/>
        <v>NEED FORM</v>
      </c>
      <c r="H168" s="14">
        <v>9894239553</v>
      </c>
      <c r="J168" s="19" t="s">
        <v>942</v>
      </c>
      <c r="K168" s="25" t="s">
        <v>943</v>
      </c>
      <c r="L168" s="25" t="s">
        <v>302</v>
      </c>
      <c r="M168" s="25" t="s">
        <v>610</v>
      </c>
      <c r="N168" s="25">
        <v>3</v>
      </c>
      <c r="O168" s="25">
        <v>184.76</v>
      </c>
      <c r="P168" s="106">
        <f t="shared" si="5"/>
        <v>856.3599999999999</v>
      </c>
      <c r="Q168" s="25">
        <v>302.08</v>
      </c>
      <c r="R168" s="24">
        <v>45077</v>
      </c>
      <c r="S168" s="26" t="s">
        <v>944</v>
      </c>
      <c r="T168" s="24">
        <v>45077</v>
      </c>
      <c r="U168" s="25">
        <v>3</v>
      </c>
      <c r="V168" s="25" t="s">
        <v>803</v>
      </c>
      <c r="Y168" s="25" t="s">
        <v>945</v>
      </c>
    </row>
    <row r="169" spans="1:25" s="30" customFormat="1" x14ac:dyDescent="0.25">
      <c r="A169" s="28">
        <v>166</v>
      </c>
      <c r="B169" s="29">
        <v>45076</v>
      </c>
      <c r="C169" s="29">
        <v>45076</v>
      </c>
      <c r="D169" s="30" t="s">
        <v>300</v>
      </c>
      <c r="E169" s="30" t="s">
        <v>128</v>
      </c>
      <c r="F169" s="30" t="s">
        <v>946</v>
      </c>
      <c r="G169" s="80" t="str">
        <f t="shared" si="4"/>
        <v>NEED FORM</v>
      </c>
      <c r="H169" s="15">
        <v>8656718364</v>
      </c>
      <c r="J169" s="30" t="s">
        <v>947</v>
      </c>
      <c r="K169" s="30" t="s">
        <v>948</v>
      </c>
      <c r="L169" s="30" t="s">
        <v>232</v>
      </c>
      <c r="M169" s="30" t="s">
        <v>610</v>
      </c>
      <c r="N169" s="30">
        <v>150</v>
      </c>
      <c r="O169" s="30">
        <v>156.62</v>
      </c>
      <c r="P169" s="107">
        <f t="shared" si="5"/>
        <v>23493</v>
      </c>
      <c r="R169" s="29"/>
      <c r="S169" s="31"/>
      <c r="T169" s="29"/>
    </row>
    <row r="170" spans="1:25" s="25" customFormat="1" x14ac:dyDescent="0.25">
      <c r="A170" s="23">
        <v>167</v>
      </c>
      <c r="B170" s="24">
        <v>45077</v>
      </c>
      <c r="C170" s="24">
        <v>44985</v>
      </c>
      <c r="D170" s="25" t="s">
        <v>627</v>
      </c>
      <c r="E170" s="25" t="s">
        <v>784</v>
      </c>
      <c r="F170" s="25" t="s">
        <v>631</v>
      </c>
      <c r="G170" s="79">
        <f t="shared" si="4"/>
        <v>44927</v>
      </c>
      <c r="H170" s="14">
        <v>4323336181</v>
      </c>
      <c r="J170" s="19" t="s">
        <v>632</v>
      </c>
      <c r="K170" s="25" t="s">
        <v>633</v>
      </c>
      <c r="L170" s="25" t="s">
        <v>144</v>
      </c>
      <c r="M170" s="25" t="s">
        <v>610</v>
      </c>
      <c r="N170" s="25">
        <v>50</v>
      </c>
      <c r="O170" s="25">
        <v>181.44</v>
      </c>
      <c r="P170" s="106">
        <f t="shared" si="5"/>
        <v>9072</v>
      </c>
      <c r="R170" s="24">
        <v>45077</v>
      </c>
      <c r="S170" s="26">
        <v>975493</v>
      </c>
      <c r="T170" s="24">
        <v>45120</v>
      </c>
      <c r="U170" s="25">
        <v>50</v>
      </c>
      <c r="V170" s="25" t="s">
        <v>683</v>
      </c>
      <c r="Y170" s="25" t="s">
        <v>949</v>
      </c>
    </row>
    <row r="171" spans="1:25" s="25" customFormat="1" x14ac:dyDescent="0.25">
      <c r="A171" s="23">
        <v>168</v>
      </c>
      <c r="B171" s="24">
        <v>45077</v>
      </c>
      <c r="C171" s="24">
        <v>44985</v>
      </c>
      <c r="D171" s="25" t="s">
        <v>627</v>
      </c>
      <c r="E171" s="25" t="s">
        <v>784</v>
      </c>
      <c r="F171" s="25" t="s">
        <v>631</v>
      </c>
      <c r="G171" s="79">
        <f t="shared" si="4"/>
        <v>44927</v>
      </c>
      <c r="H171" s="14">
        <v>4323336181</v>
      </c>
      <c r="J171" s="19" t="s">
        <v>632</v>
      </c>
      <c r="K171" s="25" t="s">
        <v>633</v>
      </c>
      <c r="L171" s="25" t="s">
        <v>144</v>
      </c>
      <c r="M171" s="25" t="s">
        <v>611</v>
      </c>
      <c r="N171" s="25">
        <v>50</v>
      </c>
      <c r="O171" s="25">
        <v>181.44</v>
      </c>
      <c r="P171" s="106">
        <f t="shared" si="5"/>
        <v>9072</v>
      </c>
      <c r="R171" s="24">
        <v>45077</v>
      </c>
      <c r="S171" s="26">
        <v>975793</v>
      </c>
      <c r="T171" s="24">
        <v>45120</v>
      </c>
      <c r="U171" s="25">
        <v>50</v>
      </c>
      <c r="V171" s="25" t="s">
        <v>683</v>
      </c>
      <c r="Y171" s="25" t="s">
        <v>949</v>
      </c>
    </row>
    <row r="172" spans="1:25" s="25" customFormat="1" x14ac:dyDescent="0.25">
      <c r="A172" s="23">
        <v>169</v>
      </c>
      <c r="B172" s="24">
        <v>45082</v>
      </c>
      <c r="C172" s="24">
        <v>45082</v>
      </c>
      <c r="D172" s="25" t="s">
        <v>666</v>
      </c>
      <c r="E172" s="25" t="s">
        <v>484</v>
      </c>
      <c r="F172" s="25" t="s">
        <v>667</v>
      </c>
      <c r="G172" s="79">
        <f t="shared" si="4"/>
        <v>45310</v>
      </c>
      <c r="H172" s="14">
        <v>4092423351</v>
      </c>
      <c r="J172" s="19" t="s">
        <v>668</v>
      </c>
      <c r="K172" s="25" t="s">
        <v>669</v>
      </c>
      <c r="L172" s="25" t="s">
        <v>144</v>
      </c>
      <c r="M172" s="25" t="s">
        <v>950</v>
      </c>
      <c r="N172" s="25">
        <v>2</v>
      </c>
      <c r="O172" s="25">
        <v>176.3</v>
      </c>
      <c r="P172" s="106">
        <f t="shared" si="5"/>
        <v>352.63</v>
      </c>
      <c r="Q172" s="32">
        <v>0.03</v>
      </c>
      <c r="R172" s="24">
        <v>45050</v>
      </c>
      <c r="S172" s="26" t="s">
        <v>951</v>
      </c>
      <c r="T172" s="24">
        <v>45103</v>
      </c>
      <c r="U172" s="25">
        <v>2</v>
      </c>
      <c r="V172" s="25" t="s">
        <v>803</v>
      </c>
      <c r="Y172" s="25" t="s">
        <v>671</v>
      </c>
    </row>
    <row r="173" spans="1:25" s="25" customFormat="1" x14ac:dyDescent="0.25">
      <c r="A173" s="23">
        <v>170</v>
      </c>
      <c r="B173" s="24">
        <v>45082</v>
      </c>
      <c r="C173" s="24">
        <v>45082</v>
      </c>
      <c r="D173" s="25" t="s">
        <v>666</v>
      </c>
      <c r="E173" s="25" t="s">
        <v>484</v>
      </c>
      <c r="F173" s="25" t="s">
        <v>667</v>
      </c>
      <c r="G173" s="79">
        <f t="shared" si="4"/>
        <v>45310</v>
      </c>
      <c r="H173" s="14">
        <v>4092423351</v>
      </c>
      <c r="J173" s="19" t="s">
        <v>668</v>
      </c>
      <c r="K173" s="25" t="s">
        <v>669</v>
      </c>
      <c r="L173" s="25" t="s">
        <v>144</v>
      </c>
      <c r="M173" s="25" t="s">
        <v>950</v>
      </c>
      <c r="N173" s="25">
        <v>2</v>
      </c>
      <c r="O173" s="25">
        <v>190.72</v>
      </c>
      <c r="P173" s="106">
        <f t="shared" si="5"/>
        <v>381.46999999999997</v>
      </c>
      <c r="Q173" s="32">
        <v>0.03</v>
      </c>
      <c r="R173" s="24">
        <v>45050</v>
      </c>
      <c r="S173" s="26" t="s">
        <v>951</v>
      </c>
      <c r="T173" s="24">
        <v>45103</v>
      </c>
      <c r="U173" s="25">
        <v>2</v>
      </c>
      <c r="V173" s="25" t="s">
        <v>803</v>
      </c>
      <c r="Y173" s="25" t="s">
        <v>671</v>
      </c>
    </row>
    <row r="174" spans="1:25" s="25" customFormat="1" x14ac:dyDescent="0.25">
      <c r="A174" s="23">
        <v>171</v>
      </c>
      <c r="B174" s="24">
        <v>45089</v>
      </c>
      <c r="C174" s="24">
        <v>45089</v>
      </c>
      <c r="D174" s="25" t="s">
        <v>219</v>
      </c>
      <c r="E174" s="25" t="s">
        <v>952</v>
      </c>
      <c r="F174" s="25" t="s">
        <v>361</v>
      </c>
      <c r="G174" s="79">
        <f t="shared" si="4"/>
        <v>45336</v>
      </c>
      <c r="H174" s="14">
        <v>7196966305</v>
      </c>
      <c r="J174" s="19" t="s">
        <v>953</v>
      </c>
      <c r="M174" s="25" t="s">
        <v>608</v>
      </c>
      <c r="N174" s="25">
        <v>5</v>
      </c>
      <c r="O174" s="25">
        <v>180.56</v>
      </c>
      <c r="P174" s="106">
        <f t="shared" si="5"/>
        <v>1394.83</v>
      </c>
      <c r="Q174" s="25">
        <v>492.03</v>
      </c>
      <c r="R174" s="24">
        <v>45068</v>
      </c>
      <c r="S174" s="26" t="s">
        <v>944</v>
      </c>
      <c r="T174" s="24">
        <v>45089</v>
      </c>
      <c r="U174" s="25">
        <v>2</v>
      </c>
      <c r="V174" s="25" t="s">
        <v>803</v>
      </c>
      <c r="Y174" s="25" t="s">
        <v>954</v>
      </c>
    </row>
    <row r="175" spans="1:25" s="30" customFormat="1" x14ac:dyDescent="0.25">
      <c r="A175" s="28">
        <v>172</v>
      </c>
      <c r="B175" s="29">
        <v>45089</v>
      </c>
      <c r="C175" s="29">
        <v>45089</v>
      </c>
      <c r="D175" s="30" t="s">
        <v>955</v>
      </c>
      <c r="E175" s="30" t="s">
        <v>956</v>
      </c>
      <c r="F175" s="30" t="s">
        <v>957</v>
      </c>
      <c r="G175" s="80" t="str">
        <f t="shared" si="4"/>
        <v>Requested</v>
      </c>
      <c r="H175" s="15" t="s">
        <v>958</v>
      </c>
      <c r="J175" s="118" t="s">
        <v>959</v>
      </c>
      <c r="M175" s="30" t="s">
        <v>610</v>
      </c>
      <c r="N175" s="30">
        <v>31</v>
      </c>
      <c r="O175" s="30">
        <v>205.29</v>
      </c>
      <c r="P175" s="107">
        <f t="shared" si="5"/>
        <v>6363.99</v>
      </c>
      <c r="R175" s="29"/>
      <c r="S175" s="31"/>
      <c r="T175" s="29"/>
    </row>
    <row r="176" spans="1:25" s="25" customFormat="1" x14ac:dyDescent="0.25">
      <c r="A176" s="23">
        <v>173</v>
      </c>
      <c r="B176" s="24">
        <v>45090</v>
      </c>
      <c r="C176" s="24">
        <v>45090</v>
      </c>
      <c r="D176" s="25" t="s">
        <v>519</v>
      </c>
      <c r="E176" s="25" t="s">
        <v>411</v>
      </c>
      <c r="F176" s="25" t="s">
        <v>617</v>
      </c>
      <c r="G176" s="79" t="str">
        <f t="shared" si="4"/>
        <v>NOT EXEMPT</v>
      </c>
      <c r="H176" s="14">
        <v>5737544501</v>
      </c>
      <c r="J176" s="19" t="s">
        <v>960</v>
      </c>
      <c r="K176" s="25" t="s">
        <v>842</v>
      </c>
      <c r="L176" s="25" t="s">
        <v>418</v>
      </c>
      <c r="M176" s="25" t="s">
        <v>864</v>
      </c>
      <c r="N176" s="115">
        <v>2</v>
      </c>
      <c r="O176" s="25">
        <v>139.38</v>
      </c>
      <c r="P176" s="106">
        <f t="shared" si="5"/>
        <v>278.76</v>
      </c>
      <c r="R176" s="24">
        <v>45090</v>
      </c>
      <c r="S176" s="26">
        <v>4501589638</v>
      </c>
      <c r="T176" s="24">
        <v>45115</v>
      </c>
      <c r="U176" s="25">
        <v>2</v>
      </c>
      <c r="V176" s="25" t="s">
        <v>683</v>
      </c>
    </row>
    <row r="177" spans="1:25" s="25" customFormat="1" x14ac:dyDescent="0.25">
      <c r="A177" s="23">
        <v>173</v>
      </c>
      <c r="B177" s="24">
        <v>45091</v>
      </c>
      <c r="C177" s="24">
        <v>45091</v>
      </c>
      <c r="D177" s="25" t="s">
        <v>482</v>
      </c>
      <c r="E177" s="25" t="s">
        <v>918</v>
      </c>
      <c r="F177" s="25" t="s">
        <v>919</v>
      </c>
      <c r="G177" s="79" t="str">
        <f t="shared" si="4"/>
        <v>NEED FORM</v>
      </c>
      <c r="H177" s="14">
        <v>3037948833</v>
      </c>
      <c r="J177" s="25" t="s">
        <v>920</v>
      </c>
      <c r="K177" s="25" t="s">
        <v>921</v>
      </c>
      <c r="L177" s="25" t="s">
        <v>922</v>
      </c>
      <c r="M177" s="25" t="s">
        <v>639</v>
      </c>
      <c r="N177" s="25">
        <v>2</v>
      </c>
      <c r="O177" s="25">
        <v>184.76</v>
      </c>
      <c r="P177" s="106">
        <f t="shared" si="5"/>
        <v>369.52</v>
      </c>
      <c r="R177" s="24">
        <v>45093</v>
      </c>
      <c r="S177" s="26" t="s">
        <v>961</v>
      </c>
      <c r="T177" s="24">
        <v>45119</v>
      </c>
      <c r="V177" s="25" t="s">
        <v>683</v>
      </c>
      <c r="Y177" s="25" t="s">
        <v>962</v>
      </c>
    </row>
    <row r="178" spans="1:25" s="30" customFormat="1" x14ac:dyDescent="0.25">
      <c r="A178" s="28">
        <v>175</v>
      </c>
      <c r="B178" s="29">
        <v>45093</v>
      </c>
      <c r="C178" s="29">
        <v>45093</v>
      </c>
      <c r="D178" s="30" t="s">
        <v>963</v>
      </c>
      <c r="E178" s="30" t="s">
        <v>964</v>
      </c>
      <c r="F178" s="30" t="s">
        <v>965</v>
      </c>
      <c r="G178" s="80" t="str">
        <f t="shared" si="4"/>
        <v>NEED FORM</v>
      </c>
      <c r="H178" s="15">
        <v>7808979234</v>
      </c>
      <c r="J178" s="30" t="s">
        <v>966</v>
      </c>
      <c r="K178" s="30" t="s">
        <v>967</v>
      </c>
      <c r="L178" s="30" t="s">
        <v>440</v>
      </c>
      <c r="M178" s="30" t="s">
        <v>610</v>
      </c>
      <c r="N178" s="30">
        <v>2</v>
      </c>
      <c r="O178" s="30">
        <v>184.76</v>
      </c>
      <c r="P178" s="107">
        <f t="shared" si="5"/>
        <v>369.52</v>
      </c>
      <c r="R178" s="29"/>
      <c r="S178" s="31"/>
      <c r="T178" s="29"/>
      <c r="V178" s="30" t="s">
        <v>968</v>
      </c>
      <c r="Y178" s="30" t="s">
        <v>968</v>
      </c>
    </row>
    <row r="179" spans="1:25" s="25" customFormat="1" x14ac:dyDescent="0.25">
      <c r="A179" s="23">
        <v>176</v>
      </c>
      <c r="B179" s="24">
        <v>45093</v>
      </c>
      <c r="C179" s="24">
        <v>45093</v>
      </c>
      <c r="D179" s="25" t="s">
        <v>666</v>
      </c>
      <c r="E179" s="25" t="s">
        <v>484</v>
      </c>
      <c r="F179" s="25" t="s">
        <v>667</v>
      </c>
      <c r="G179" s="79">
        <f t="shared" si="4"/>
        <v>45310</v>
      </c>
      <c r="H179" s="14">
        <v>4092423351</v>
      </c>
      <c r="J179" s="19" t="s">
        <v>668</v>
      </c>
      <c r="K179" s="25" t="s">
        <v>669</v>
      </c>
      <c r="L179" s="25" t="s">
        <v>144</v>
      </c>
      <c r="M179" s="25" t="s">
        <v>608</v>
      </c>
      <c r="N179" s="25">
        <v>2</v>
      </c>
      <c r="O179" s="25">
        <v>190.72</v>
      </c>
      <c r="P179" s="106">
        <f t="shared" si="5"/>
        <v>381.46999999999997</v>
      </c>
      <c r="Q179" s="32">
        <v>0.03</v>
      </c>
      <c r="R179" s="24">
        <v>45093</v>
      </c>
      <c r="S179" s="26" t="s">
        <v>969</v>
      </c>
      <c r="T179" s="24">
        <v>45121</v>
      </c>
      <c r="U179" s="25">
        <v>2</v>
      </c>
      <c r="V179" s="25" t="s">
        <v>803</v>
      </c>
      <c r="Y179" s="25" t="s">
        <v>671</v>
      </c>
    </row>
    <row r="180" spans="1:25" s="30" customFormat="1" x14ac:dyDescent="0.25">
      <c r="A180" s="28">
        <v>177</v>
      </c>
      <c r="B180" s="29">
        <v>45098</v>
      </c>
      <c r="C180" s="29">
        <v>45098</v>
      </c>
      <c r="D180" s="30" t="s">
        <v>970</v>
      </c>
      <c r="E180" s="30" t="s">
        <v>329</v>
      </c>
      <c r="F180" s="30" t="s">
        <v>971</v>
      </c>
      <c r="G180" s="80" t="str">
        <f t="shared" si="4"/>
        <v>NEED FORM</v>
      </c>
      <c r="H180" s="15">
        <v>4233325758</v>
      </c>
      <c r="J180" s="30" t="s">
        <v>972</v>
      </c>
      <c r="K180" s="30" t="s">
        <v>633</v>
      </c>
      <c r="L180" s="30" t="s">
        <v>144</v>
      </c>
      <c r="M180" s="30" t="s">
        <v>610</v>
      </c>
      <c r="N180" s="30">
        <v>2</v>
      </c>
      <c r="O180" s="30">
        <v>184.76</v>
      </c>
      <c r="P180" s="107">
        <f t="shared" si="5"/>
        <v>369.52</v>
      </c>
      <c r="R180" s="29"/>
      <c r="S180" s="31"/>
      <c r="T180" s="29"/>
      <c r="Y180" s="30" t="s">
        <v>968</v>
      </c>
    </row>
    <row r="181" spans="1:25" s="25" customFormat="1" x14ac:dyDescent="0.25">
      <c r="A181" s="23">
        <v>178</v>
      </c>
      <c r="B181" s="24">
        <v>45099</v>
      </c>
      <c r="C181" s="24">
        <v>45099</v>
      </c>
      <c r="D181" s="25" t="s">
        <v>666</v>
      </c>
      <c r="E181" s="25" t="s">
        <v>484</v>
      </c>
      <c r="F181" s="25" t="s">
        <v>667</v>
      </c>
      <c r="G181" s="79">
        <f t="shared" si="4"/>
        <v>45310</v>
      </c>
      <c r="H181" s="14">
        <v>4092423351</v>
      </c>
      <c r="J181" s="19" t="s">
        <v>668</v>
      </c>
      <c r="K181" s="25" t="s">
        <v>669</v>
      </c>
      <c r="L181" s="25" t="s">
        <v>144</v>
      </c>
      <c r="M181" s="25" t="s">
        <v>608</v>
      </c>
      <c r="N181" s="25">
        <v>2</v>
      </c>
      <c r="O181" s="25">
        <v>190.72</v>
      </c>
      <c r="P181" s="106">
        <f t="shared" si="5"/>
        <v>381.46999999999997</v>
      </c>
      <c r="Q181" s="32">
        <v>0.03</v>
      </c>
      <c r="R181" s="24">
        <v>45093</v>
      </c>
      <c r="S181" s="26" t="s">
        <v>973</v>
      </c>
      <c r="T181" s="24">
        <v>45124</v>
      </c>
      <c r="U181" s="25">
        <v>2</v>
      </c>
      <c r="V181" s="25" t="s">
        <v>803</v>
      </c>
      <c r="Y181" s="25" t="s">
        <v>671</v>
      </c>
    </row>
    <row r="182" spans="1:25" s="30" customFormat="1" x14ac:dyDescent="0.25">
      <c r="A182" s="28">
        <v>179</v>
      </c>
      <c r="B182" s="29">
        <v>45100</v>
      </c>
      <c r="C182" s="29">
        <v>45100</v>
      </c>
      <c r="D182" s="30" t="s">
        <v>974</v>
      </c>
      <c r="E182" s="30" t="s">
        <v>975</v>
      </c>
      <c r="F182" s="30" t="s">
        <v>976</v>
      </c>
      <c r="G182" s="80" t="str">
        <f t="shared" si="4"/>
        <v>NEED FORM</v>
      </c>
      <c r="H182" s="15"/>
      <c r="J182" s="30" t="s">
        <v>977</v>
      </c>
      <c r="M182" s="30" t="s">
        <v>610</v>
      </c>
      <c r="N182" s="30">
        <v>30</v>
      </c>
      <c r="O182" s="30">
        <v>168.99</v>
      </c>
      <c r="P182" s="107">
        <f t="shared" si="5"/>
        <v>5069.7000000000007</v>
      </c>
      <c r="R182" s="29"/>
      <c r="S182" s="31"/>
      <c r="T182" s="29"/>
    </row>
    <row r="183" spans="1:25" s="25" customFormat="1" x14ac:dyDescent="0.25">
      <c r="A183" s="23">
        <v>180</v>
      </c>
      <c r="B183" s="24">
        <v>45103</v>
      </c>
      <c r="C183" s="24">
        <v>45103</v>
      </c>
      <c r="D183" s="25" t="s">
        <v>890</v>
      </c>
      <c r="E183" s="25" t="s">
        <v>891</v>
      </c>
      <c r="F183" s="25" t="s">
        <v>628</v>
      </c>
      <c r="G183" s="79">
        <f t="shared" si="4"/>
        <v>44562</v>
      </c>
      <c r="H183" s="14">
        <v>4323682207</v>
      </c>
      <c r="J183" s="19" t="s">
        <v>892</v>
      </c>
      <c r="K183" s="25" t="s">
        <v>846</v>
      </c>
      <c r="L183" s="25" t="s">
        <v>650</v>
      </c>
      <c r="M183" s="25" t="s">
        <v>610</v>
      </c>
      <c r="N183" s="25">
        <v>50</v>
      </c>
      <c r="O183" s="25">
        <v>154.08000000000001</v>
      </c>
      <c r="P183" s="106">
        <f t="shared" si="5"/>
        <v>7704.0300000000007</v>
      </c>
      <c r="Q183" s="32">
        <v>0.03</v>
      </c>
      <c r="R183" s="24">
        <v>45037</v>
      </c>
      <c r="S183" s="26" t="s">
        <v>978</v>
      </c>
      <c r="T183" s="24">
        <v>45079</v>
      </c>
      <c r="U183" s="25">
        <v>50</v>
      </c>
      <c r="V183" s="25" t="s">
        <v>896</v>
      </c>
      <c r="Y183" s="25" t="s">
        <v>979</v>
      </c>
    </row>
    <row r="184" spans="1:25" s="25" customFormat="1" ht="14.45" customHeight="1" x14ac:dyDescent="0.25">
      <c r="A184" s="28">
        <v>180</v>
      </c>
      <c r="B184" s="29">
        <v>45309</v>
      </c>
      <c r="C184" s="29">
        <v>45309</v>
      </c>
      <c r="D184" s="30" t="s">
        <v>68</v>
      </c>
      <c r="E184" s="30" t="s">
        <v>980</v>
      </c>
      <c r="F184" s="30" t="s">
        <v>728</v>
      </c>
      <c r="G184" s="80">
        <f t="shared" si="4"/>
        <v>45358</v>
      </c>
      <c r="H184" s="15">
        <v>6265440202</v>
      </c>
      <c r="I184" s="30"/>
      <c r="J184" s="30" t="s">
        <v>729</v>
      </c>
      <c r="K184" s="30" t="s">
        <v>981</v>
      </c>
      <c r="L184" s="30" t="s">
        <v>174</v>
      </c>
      <c r="M184" s="30" t="s">
        <v>639</v>
      </c>
      <c r="N184" s="30">
        <v>39</v>
      </c>
      <c r="O184" s="30">
        <v>176.36</v>
      </c>
      <c r="P184" s="107">
        <f t="shared" si="5"/>
        <v>6878.0400000000009</v>
      </c>
      <c r="Q184" s="30"/>
      <c r="R184" s="29"/>
      <c r="S184" s="31"/>
      <c r="T184" s="29"/>
      <c r="U184" s="30"/>
      <c r="V184" s="30"/>
      <c r="W184" s="30"/>
      <c r="X184" s="30"/>
      <c r="Y184" s="25" t="s">
        <v>671</v>
      </c>
    </row>
    <row r="185" spans="1:25" s="30" customFormat="1" ht="14.45" customHeight="1" x14ac:dyDescent="0.25">
      <c r="A185" s="23">
        <v>181</v>
      </c>
      <c r="B185" s="24">
        <v>45106</v>
      </c>
      <c r="C185" s="24">
        <v>45106</v>
      </c>
      <c r="D185" s="25" t="s">
        <v>666</v>
      </c>
      <c r="E185" s="25" t="s">
        <v>484</v>
      </c>
      <c r="F185" s="25" t="s">
        <v>667</v>
      </c>
      <c r="G185" s="79">
        <f t="shared" si="4"/>
        <v>45310</v>
      </c>
      <c r="H185" s="14">
        <v>4092423351</v>
      </c>
      <c r="I185" s="25"/>
      <c r="J185" s="19" t="s">
        <v>668</v>
      </c>
      <c r="K185" s="25" t="s">
        <v>669</v>
      </c>
      <c r="L185" s="25" t="s">
        <v>144</v>
      </c>
      <c r="M185" s="25" t="s">
        <v>608</v>
      </c>
      <c r="N185" s="25">
        <v>2</v>
      </c>
      <c r="O185" s="25">
        <v>190.72</v>
      </c>
      <c r="P185" s="106">
        <f t="shared" si="5"/>
        <v>381.46999999999997</v>
      </c>
      <c r="Q185" s="32">
        <v>0.03</v>
      </c>
      <c r="R185" s="24">
        <v>45093</v>
      </c>
      <c r="S185" s="26" t="s">
        <v>969</v>
      </c>
      <c r="T185" s="24">
        <v>45121</v>
      </c>
      <c r="U185" s="25">
        <v>2</v>
      </c>
      <c r="V185" s="25" t="s">
        <v>803</v>
      </c>
      <c r="W185" s="25"/>
      <c r="X185" s="25"/>
    </row>
    <row r="186" spans="1:25" s="30" customFormat="1" ht="14.45" customHeight="1" x14ac:dyDescent="0.25">
      <c r="A186" s="28">
        <v>182</v>
      </c>
      <c r="B186" s="29">
        <v>45113</v>
      </c>
      <c r="C186" s="29">
        <v>45113</v>
      </c>
      <c r="D186" s="30" t="s">
        <v>982</v>
      </c>
      <c r="E186" s="30" t="s">
        <v>983</v>
      </c>
      <c r="F186" s="30" t="s">
        <v>957</v>
      </c>
      <c r="G186" s="80" t="str">
        <f t="shared" si="4"/>
        <v>Requested</v>
      </c>
      <c r="H186" s="15">
        <v>866927750504</v>
      </c>
      <c r="J186" s="30" t="s">
        <v>984</v>
      </c>
      <c r="M186" s="30" t="s">
        <v>610</v>
      </c>
      <c r="N186" s="30">
        <v>10</v>
      </c>
      <c r="O186" s="30">
        <v>176.36</v>
      </c>
      <c r="P186" s="107">
        <f t="shared" si="5"/>
        <v>1763.6000000000001</v>
      </c>
      <c r="R186" s="29"/>
      <c r="S186" s="31"/>
      <c r="T186" s="29"/>
    </row>
    <row r="187" spans="1:25" s="25" customFormat="1" ht="14.45" customHeight="1" x14ac:dyDescent="0.25">
      <c r="A187" s="28">
        <v>183</v>
      </c>
      <c r="B187" s="29">
        <v>45113</v>
      </c>
      <c r="C187" s="29">
        <v>45113</v>
      </c>
      <c r="D187" s="30" t="s">
        <v>982</v>
      </c>
      <c r="E187" s="30" t="s">
        <v>983</v>
      </c>
      <c r="F187" s="30" t="s">
        <v>957</v>
      </c>
      <c r="G187" s="80" t="str">
        <f t="shared" si="4"/>
        <v>Requested</v>
      </c>
      <c r="H187" s="15">
        <v>866927750504</v>
      </c>
      <c r="I187" s="30"/>
      <c r="J187" s="30" t="s">
        <v>984</v>
      </c>
      <c r="K187" s="30"/>
      <c r="L187" s="30"/>
      <c r="M187" s="30" t="s">
        <v>611</v>
      </c>
      <c r="N187" s="30">
        <v>5</v>
      </c>
      <c r="O187" s="30">
        <v>200.62</v>
      </c>
      <c r="P187" s="107">
        <f t="shared" si="5"/>
        <v>1003.1</v>
      </c>
      <c r="Q187" s="30"/>
      <c r="R187" s="29"/>
      <c r="S187" s="31"/>
      <c r="T187" s="29"/>
      <c r="U187" s="30"/>
      <c r="V187" s="30"/>
      <c r="W187" s="30"/>
      <c r="X187" s="30"/>
    </row>
    <row r="188" spans="1:25" s="30" customFormat="1" ht="14.45" customHeight="1" x14ac:dyDescent="0.25">
      <c r="A188" s="23">
        <v>184</v>
      </c>
      <c r="B188" s="24">
        <v>45114</v>
      </c>
      <c r="C188" s="24">
        <v>45089</v>
      </c>
      <c r="D188" s="25" t="s">
        <v>985</v>
      </c>
      <c r="E188" s="25" t="s">
        <v>986</v>
      </c>
      <c r="F188" s="25" t="s">
        <v>615</v>
      </c>
      <c r="G188" s="79">
        <f t="shared" si="4"/>
        <v>45286</v>
      </c>
      <c r="H188" s="14">
        <v>6641270205</v>
      </c>
      <c r="I188" s="25"/>
      <c r="J188" s="25" t="s">
        <v>987</v>
      </c>
      <c r="K188" s="25" t="s">
        <v>988</v>
      </c>
      <c r="L188" s="25" t="s">
        <v>115</v>
      </c>
      <c r="M188" s="25" t="s">
        <v>611</v>
      </c>
      <c r="N188" s="25">
        <v>1</v>
      </c>
      <c r="O188" s="25">
        <v>300</v>
      </c>
      <c r="P188" s="106">
        <f t="shared" si="5"/>
        <v>300</v>
      </c>
      <c r="Q188" s="25"/>
      <c r="R188" s="24">
        <v>45089</v>
      </c>
      <c r="S188" s="26">
        <v>3011017809</v>
      </c>
      <c r="T188" s="24">
        <v>45135</v>
      </c>
      <c r="U188" s="25">
        <v>1</v>
      </c>
      <c r="V188" s="25" t="s">
        <v>989</v>
      </c>
      <c r="W188" s="25"/>
      <c r="X188" s="25"/>
    </row>
    <row r="189" spans="1:25" s="30" customFormat="1" ht="14.45" customHeight="1" x14ac:dyDescent="0.25">
      <c r="A189" s="28">
        <v>185</v>
      </c>
      <c r="B189" s="29">
        <v>45120</v>
      </c>
      <c r="C189" s="29">
        <v>45120</v>
      </c>
      <c r="D189" s="30" t="s">
        <v>183</v>
      </c>
      <c r="E189" s="30" t="s">
        <v>990</v>
      </c>
      <c r="F189" s="30" t="s">
        <v>628</v>
      </c>
      <c r="G189" s="80">
        <f t="shared" si="4"/>
        <v>44562</v>
      </c>
      <c r="H189" s="15">
        <v>4323682207</v>
      </c>
      <c r="J189" s="35" t="s">
        <v>991</v>
      </c>
      <c r="K189" s="30" t="s">
        <v>633</v>
      </c>
      <c r="L189" s="30" t="s">
        <v>144</v>
      </c>
      <c r="M189" s="30" t="s">
        <v>610</v>
      </c>
      <c r="N189" s="30">
        <v>10</v>
      </c>
      <c r="O189" s="30">
        <v>176.36</v>
      </c>
      <c r="P189" s="108">
        <f t="shared" si="5"/>
        <v>1763.63</v>
      </c>
      <c r="Q189" s="46">
        <v>0.03</v>
      </c>
      <c r="R189" s="29"/>
      <c r="S189" s="31"/>
      <c r="T189" s="29"/>
      <c r="V189" s="30" t="s">
        <v>896</v>
      </c>
    </row>
    <row r="190" spans="1:25" s="30" customFormat="1" ht="14.45" customHeight="1" x14ac:dyDescent="0.25">
      <c r="A190" s="28">
        <v>186</v>
      </c>
      <c r="B190" s="29">
        <v>45120</v>
      </c>
      <c r="C190" s="29">
        <v>45120</v>
      </c>
      <c r="D190" s="30" t="s">
        <v>287</v>
      </c>
      <c r="E190" s="30" t="s">
        <v>324</v>
      </c>
      <c r="F190" s="30" t="s">
        <v>361</v>
      </c>
      <c r="G190" s="80">
        <f t="shared" si="4"/>
        <v>45336</v>
      </c>
      <c r="H190" s="15">
        <v>7048802301</v>
      </c>
      <c r="J190" s="260" t="s">
        <v>992</v>
      </c>
      <c r="K190" s="30" t="s">
        <v>64</v>
      </c>
      <c r="L190" s="30" t="s">
        <v>58</v>
      </c>
      <c r="M190" s="30" t="s">
        <v>610</v>
      </c>
      <c r="N190" s="30">
        <v>1</v>
      </c>
      <c r="O190" s="30">
        <v>184.76</v>
      </c>
      <c r="P190" s="108">
        <f t="shared" si="5"/>
        <v>184.76</v>
      </c>
      <c r="R190" s="29"/>
      <c r="S190" s="31"/>
      <c r="T190" s="29"/>
    </row>
    <row r="191" spans="1:25" s="30" customFormat="1" ht="14.45" customHeight="1" x14ac:dyDescent="0.25">
      <c r="A191" s="28">
        <v>187</v>
      </c>
      <c r="B191" s="29">
        <v>45124</v>
      </c>
      <c r="C191" s="29">
        <v>45124</v>
      </c>
      <c r="D191" s="30" t="s">
        <v>407</v>
      </c>
      <c r="E191" s="30" t="s">
        <v>893</v>
      </c>
      <c r="F191" s="30" t="s">
        <v>628</v>
      </c>
      <c r="G191" s="80">
        <f t="shared" si="4"/>
        <v>44562</v>
      </c>
      <c r="H191" s="15">
        <v>2817876691</v>
      </c>
      <c r="J191" s="21" t="s">
        <v>895</v>
      </c>
      <c r="K191" s="30" t="s">
        <v>633</v>
      </c>
      <c r="L191" s="30" t="s">
        <v>144</v>
      </c>
      <c r="M191" s="30" t="s">
        <v>610</v>
      </c>
      <c r="N191" s="30">
        <v>13</v>
      </c>
      <c r="O191" s="30">
        <v>176.36</v>
      </c>
      <c r="P191" s="108">
        <f t="shared" si="5"/>
        <v>2292.7100000000005</v>
      </c>
      <c r="Q191" s="46">
        <v>0.03</v>
      </c>
      <c r="R191" s="29"/>
      <c r="S191" s="31"/>
      <c r="T191" s="29"/>
      <c r="V191" s="30" t="s">
        <v>896</v>
      </c>
    </row>
    <row r="192" spans="1:25" s="25" customFormat="1" ht="14.45" customHeight="1" x14ac:dyDescent="0.25">
      <c r="A192" s="28">
        <v>188</v>
      </c>
      <c r="B192" s="29">
        <v>45126</v>
      </c>
      <c r="C192" s="29">
        <v>45126</v>
      </c>
      <c r="D192" s="30" t="s">
        <v>177</v>
      </c>
      <c r="E192" s="30" t="s">
        <v>993</v>
      </c>
      <c r="F192" s="30"/>
      <c r="G192" s="80" t="str">
        <f t="shared" si="4"/>
        <v>NEED FORM</v>
      </c>
      <c r="H192" s="15"/>
      <c r="I192" s="30"/>
      <c r="J192" t="s">
        <v>994</v>
      </c>
      <c r="K192" s="30"/>
      <c r="L192" s="30"/>
      <c r="M192" s="30" t="s">
        <v>610</v>
      </c>
      <c r="N192" s="30">
        <v>2</v>
      </c>
      <c r="O192" s="30">
        <v>184.76</v>
      </c>
      <c r="P192" s="107">
        <f t="shared" si="5"/>
        <v>369.52</v>
      </c>
      <c r="Q192" s="30"/>
      <c r="R192" s="29"/>
      <c r="S192" s="31"/>
      <c r="T192" s="29"/>
      <c r="U192" s="30"/>
      <c r="V192" s="30"/>
      <c r="W192" s="30"/>
      <c r="X192" s="30"/>
      <c r="Y192" s="25" t="s">
        <v>995</v>
      </c>
    </row>
    <row r="193" spans="1:25" s="25" customFormat="1" ht="14.45" customHeight="1" x14ac:dyDescent="0.25">
      <c r="A193" s="23">
        <v>189</v>
      </c>
      <c r="B193" s="24">
        <v>45128</v>
      </c>
      <c r="C193" s="24">
        <v>45128</v>
      </c>
      <c r="D193" s="25" t="s">
        <v>424</v>
      </c>
      <c r="E193" s="25" t="s">
        <v>323</v>
      </c>
      <c r="F193" s="25" t="s">
        <v>996</v>
      </c>
      <c r="G193" s="79">
        <f t="shared" si="4"/>
        <v>45336</v>
      </c>
      <c r="H193" s="14"/>
      <c r="J193" s="19" t="s">
        <v>997</v>
      </c>
      <c r="K193" s="25" t="s">
        <v>998</v>
      </c>
      <c r="L193" s="25" t="s">
        <v>232</v>
      </c>
      <c r="M193" s="25" t="s">
        <v>610</v>
      </c>
      <c r="N193" s="25">
        <v>1</v>
      </c>
      <c r="O193" s="25">
        <v>300</v>
      </c>
      <c r="P193" s="106">
        <f t="shared" si="5"/>
        <v>300</v>
      </c>
      <c r="R193" s="24">
        <v>45128</v>
      </c>
      <c r="S193" s="26">
        <v>10921245</v>
      </c>
      <c r="T193" s="24">
        <v>45148</v>
      </c>
      <c r="U193" s="25">
        <v>1</v>
      </c>
      <c r="V193" s="25" t="s">
        <v>803</v>
      </c>
      <c r="X193" s="25" t="s">
        <v>999</v>
      </c>
    </row>
    <row r="194" spans="1:25" s="25" customFormat="1" ht="14.45" customHeight="1" x14ac:dyDescent="0.25">
      <c r="A194" s="23">
        <v>190</v>
      </c>
      <c r="B194" s="24">
        <v>45128</v>
      </c>
      <c r="C194" s="24">
        <v>45128</v>
      </c>
      <c r="D194" s="25" t="s">
        <v>127</v>
      </c>
      <c r="E194" s="25" t="s">
        <v>240</v>
      </c>
      <c r="F194" s="25" t="s">
        <v>1000</v>
      </c>
      <c r="G194" s="79" t="str">
        <f t="shared" si="4"/>
        <v>NEED FORM</v>
      </c>
      <c r="H194" s="14"/>
      <c r="J194" s="25" t="s">
        <v>1001</v>
      </c>
      <c r="K194" s="25" t="s">
        <v>1002</v>
      </c>
      <c r="L194" s="25" t="s">
        <v>296</v>
      </c>
      <c r="M194" s="25" t="s">
        <v>610</v>
      </c>
      <c r="N194" s="25">
        <v>2</v>
      </c>
      <c r="O194" s="25">
        <v>184.76</v>
      </c>
      <c r="P194" s="106">
        <f t="shared" si="5"/>
        <v>650.91</v>
      </c>
      <c r="Q194" s="25">
        <f>80+16.63+184.76</f>
        <v>281.39</v>
      </c>
      <c r="R194" s="24">
        <v>45128</v>
      </c>
      <c r="S194" s="26" t="s">
        <v>1003</v>
      </c>
      <c r="T194" s="24">
        <v>45131</v>
      </c>
      <c r="U194" s="25">
        <v>2</v>
      </c>
      <c r="V194" s="25" t="s">
        <v>803</v>
      </c>
      <c r="X194" s="25" t="s">
        <v>1004</v>
      </c>
      <c r="Y194" s="25" t="s">
        <v>671</v>
      </c>
    </row>
    <row r="195" spans="1:25" s="25" customFormat="1" ht="14.45" customHeight="1" x14ac:dyDescent="0.25">
      <c r="A195" s="23">
        <v>191</v>
      </c>
      <c r="B195" s="24">
        <v>45132</v>
      </c>
      <c r="C195" s="24">
        <v>45132</v>
      </c>
      <c r="D195" s="25" t="s">
        <v>666</v>
      </c>
      <c r="E195" s="25" t="s">
        <v>484</v>
      </c>
      <c r="F195" s="25" t="s">
        <v>667</v>
      </c>
      <c r="G195" s="79">
        <f t="shared" ref="G195:G235" si="6">_xlfn.IFNA(VLOOKUP(F195,TAX,2,FALSE), "NEED FORM")</f>
        <v>45310</v>
      </c>
      <c r="H195" s="14">
        <v>4092423351</v>
      </c>
      <c r="J195" s="19" t="s">
        <v>668</v>
      </c>
      <c r="K195" s="25" t="s">
        <v>669</v>
      </c>
      <c r="L195" s="25" t="s">
        <v>144</v>
      </c>
      <c r="M195" s="25" t="s">
        <v>608</v>
      </c>
      <c r="N195" s="25">
        <v>2</v>
      </c>
      <c r="O195" s="25">
        <v>190.72</v>
      </c>
      <c r="P195" s="106">
        <f t="shared" ref="P195:P234" si="7">N195*O195+Q195</f>
        <v>381.46999999999997</v>
      </c>
      <c r="Q195" s="32">
        <v>0.03</v>
      </c>
      <c r="R195" s="24">
        <v>45132</v>
      </c>
      <c r="S195" s="26" t="s">
        <v>1005</v>
      </c>
      <c r="T195" s="24">
        <v>45153</v>
      </c>
      <c r="U195" s="25">
        <v>2</v>
      </c>
      <c r="V195" s="25" t="s">
        <v>803</v>
      </c>
    </row>
    <row r="196" spans="1:25" s="25" customFormat="1" ht="14.45" customHeight="1" x14ac:dyDescent="0.25">
      <c r="A196" s="23">
        <v>192</v>
      </c>
      <c r="B196" s="24">
        <v>45133</v>
      </c>
      <c r="C196" s="24">
        <v>45133</v>
      </c>
      <c r="D196" s="25" t="s">
        <v>244</v>
      </c>
      <c r="E196" s="25" t="s">
        <v>1006</v>
      </c>
      <c r="F196" s="25" t="s">
        <v>641</v>
      </c>
      <c r="G196" s="79">
        <f t="shared" si="6"/>
        <v>45359</v>
      </c>
      <c r="H196" s="14">
        <v>3618822565</v>
      </c>
      <c r="J196" s="19" t="s">
        <v>1007</v>
      </c>
      <c r="K196" s="25" t="s">
        <v>643</v>
      </c>
      <c r="L196" s="25" t="s">
        <v>144</v>
      </c>
      <c r="M196" s="25" t="s">
        <v>611</v>
      </c>
      <c r="N196" s="25">
        <v>2</v>
      </c>
      <c r="O196" s="25">
        <v>205.29</v>
      </c>
      <c r="P196" s="106">
        <f t="shared" si="7"/>
        <v>422.28</v>
      </c>
      <c r="Q196" s="25">
        <v>11.7</v>
      </c>
      <c r="R196" s="24">
        <v>45135</v>
      </c>
      <c r="S196" s="26" t="s">
        <v>1008</v>
      </c>
      <c r="T196" s="24">
        <v>45156</v>
      </c>
      <c r="U196" s="25">
        <v>2</v>
      </c>
      <c r="V196" s="25" t="s">
        <v>803</v>
      </c>
    </row>
    <row r="197" spans="1:25" s="25" customFormat="1" ht="14.45" customHeight="1" x14ac:dyDescent="0.25">
      <c r="A197" s="23">
        <v>193</v>
      </c>
      <c r="B197" s="24">
        <v>45133</v>
      </c>
      <c r="C197" s="24">
        <v>45133</v>
      </c>
      <c r="D197" s="25" t="s">
        <v>244</v>
      </c>
      <c r="E197" s="25" t="s">
        <v>1006</v>
      </c>
      <c r="F197" s="25" t="s">
        <v>641</v>
      </c>
      <c r="G197" s="79">
        <f t="shared" si="6"/>
        <v>45359</v>
      </c>
      <c r="H197" s="14">
        <v>3618822565</v>
      </c>
      <c r="J197" s="19" t="s">
        <v>1007</v>
      </c>
      <c r="K197" s="25" t="s">
        <v>643</v>
      </c>
      <c r="L197" s="25" t="s">
        <v>144</v>
      </c>
      <c r="M197" s="25" t="s">
        <v>610</v>
      </c>
      <c r="N197" s="25">
        <v>2</v>
      </c>
      <c r="O197" s="25">
        <v>184.76</v>
      </c>
      <c r="P197" s="106">
        <f t="shared" si="7"/>
        <v>381.21999999999997</v>
      </c>
      <c r="Q197" s="25">
        <v>11.7</v>
      </c>
      <c r="R197" s="24">
        <v>45135</v>
      </c>
      <c r="S197" s="26" t="s">
        <v>1008</v>
      </c>
      <c r="T197" s="24">
        <v>45156</v>
      </c>
      <c r="U197" s="25">
        <v>2</v>
      </c>
      <c r="V197" s="25" t="s">
        <v>803</v>
      </c>
    </row>
    <row r="198" spans="1:25" s="30" customFormat="1" ht="14.45" customHeight="1" x14ac:dyDescent="0.25">
      <c r="A198" s="23">
        <v>194</v>
      </c>
      <c r="B198" s="24">
        <v>45133</v>
      </c>
      <c r="C198" s="24">
        <v>45133</v>
      </c>
      <c r="D198" s="25" t="s">
        <v>407</v>
      </c>
      <c r="E198" s="25" t="s">
        <v>1009</v>
      </c>
      <c r="F198" s="25" t="s">
        <v>631</v>
      </c>
      <c r="G198" s="79">
        <f t="shared" si="6"/>
        <v>44927</v>
      </c>
      <c r="H198" s="14">
        <v>3256582867</v>
      </c>
      <c r="I198" s="25"/>
      <c r="J198" s="19" t="s">
        <v>1010</v>
      </c>
      <c r="K198" s="25" t="s">
        <v>1011</v>
      </c>
      <c r="L198" s="25" t="s">
        <v>938</v>
      </c>
      <c r="M198" s="25" t="s">
        <v>610</v>
      </c>
      <c r="N198" s="25">
        <v>20</v>
      </c>
      <c r="O198" s="25">
        <v>176.36</v>
      </c>
      <c r="P198" s="106">
        <f t="shared" si="7"/>
        <v>3527.2000000000003</v>
      </c>
      <c r="Q198" s="25"/>
      <c r="R198" s="24">
        <v>45134</v>
      </c>
      <c r="S198" s="26" t="s">
        <v>1012</v>
      </c>
      <c r="T198" s="24">
        <v>45163</v>
      </c>
      <c r="U198" s="25">
        <v>20</v>
      </c>
      <c r="V198" s="25" t="s">
        <v>683</v>
      </c>
      <c r="W198" s="25"/>
      <c r="X198" s="25"/>
    </row>
    <row r="199" spans="1:25" s="25" customFormat="1" ht="14.45" customHeight="1" x14ac:dyDescent="0.25">
      <c r="A199" s="28">
        <v>195</v>
      </c>
      <c r="B199" s="29">
        <v>45133</v>
      </c>
      <c r="C199" s="29">
        <v>45138</v>
      </c>
      <c r="D199" s="30" t="s">
        <v>407</v>
      </c>
      <c r="E199" s="30" t="s">
        <v>1009</v>
      </c>
      <c r="F199" s="30" t="s">
        <v>631</v>
      </c>
      <c r="G199" s="80">
        <f t="shared" si="6"/>
        <v>44927</v>
      </c>
      <c r="H199" s="15">
        <v>3256582867</v>
      </c>
      <c r="I199" s="30"/>
      <c r="J199" s="35" t="s">
        <v>1010</v>
      </c>
      <c r="K199" s="30" t="s">
        <v>1011</v>
      </c>
      <c r="L199" s="30" t="s">
        <v>938</v>
      </c>
      <c r="M199" s="30" t="s">
        <v>610</v>
      </c>
      <c r="N199" s="30">
        <v>60</v>
      </c>
      <c r="O199" s="30">
        <v>164.87</v>
      </c>
      <c r="P199" s="108">
        <f t="shared" si="7"/>
        <v>9892.2000000000007</v>
      </c>
      <c r="Q199" s="30"/>
      <c r="R199" s="29">
        <v>45134</v>
      </c>
      <c r="S199" s="31"/>
      <c r="T199" s="29"/>
      <c r="U199" s="30"/>
      <c r="V199" s="30" t="s">
        <v>683</v>
      </c>
      <c r="W199" s="30"/>
      <c r="X199" s="30"/>
    </row>
    <row r="200" spans="1:25" s="30" customFormat="1" ht="14.45" customHeight="1" x14ac:dyDescent="0.25">
      <c r="A200" s="23">
        <v>196</v>
      </c>
      <c r="B200" s="24">
        <v>45138</v>
      </c>
      <c r="C200" s="24">
        <v>45138</v>
      </c>
      <c r="D200" s="25" t="s">
        <v>314</v>
      </c>
      <c r="E200" s="25" t="s">
        <v>1013</v>
      </c>
      <c r="F200" s="114" t="s">
        <v>628</v>
      </c>
      <c r="G200" s="79">
        <f t="shared" si="6"/>
        <v>44562</v>
      </c>
      <c r="H200" s="14">
        <v>4322488009</v>
      </c>
      <c r="I200" s="25"/>
      <c r="J200" s="19" t="s">
        <v>1014</v>
      </c>
      <c r="K200" s="25" t="s">
        <v>505</v>
      </c>
      <c r="L200" s="25" t="s">
        <v>144</v>
      </c>
      <c r="M200" s="25" t="s">
        <v>611</v>
      </c>
      <c r="N200" s="25">
        <v>4</v>
      </c>
      <c r="O200" s="25">
        <v>307.94</v>
      </c>
      <c r="P200" s="106">
        <f t="shared" si="7"/>
        <v>1231.76</v>
      </c>
      <c r="Q200" s="25"/>
      <c r="R200" s="24">
        <v>45141</v>
      </c>
      <c r="S200" s="26">
        <v>9320368</v>
      </c>
      <c r="T200" s="24">
        <v>45142</v>
      </c>
      <c r="U200" s="25">
        <v>4</v>
      </c>
      <c r="V200" s="25" t="s">
        <v>683</v>
      </c>
      <c r="W200" s="25"/>
      <c r="X200" s="25" t="s">
        <v>1015</v>
      </c>
    </row>
    <row r="201" spans="1:25" s="25" customFormat="1" ht="14.45" customHeight="1" x14ac:dyDescent="0.25">
      <c r="A201" s="28">
        <v>197</v>
      </c>
      <c r="B201" s="29">
        <v>45140</v>
      </c>
      <c r="C201" s="29">
        <v>45140</v>
      </c>
      <c r="D201" s="30" t="s">
        <v>244</v>
      </c>
      <c r="E201" s="30" t="s">
        <v>1016</v>
      </c>
      <c r="F201" s="30" t="s">
        <v>788</v>
      </c>
      <c r="G201" s="80">
        <f t="shared" si="6"/>
        <v>45597</v>
      </c>
      <c r="H201" s="15"/>
      <c r="I201" s="30"/>
      <c r="J201" s="21" t="s">
        <v>1017</v>
      </c>
      <c r="K201" s="30" t="s">
        <v>633</v>
      </c>
      <c r="L201" s="30" t="s">
        <v>144</v>
      </c>
      <c r="M201" s="30" t="s">
        <v>611</v>
      </c>
      <c r="N201" s="30">
        <v>4</v>
      </c>
      <c r="O201" s="30">
        <v>205.29</v>
      </c>
      <c r="P201" s="107">
        <f t="shared" si="7"/>
        <v>821.16</v>
      </c>
      <c r="Q201" s="30"/>
      <c r="R201" s="29"/>
      <c r="S201" s="31"/>
      <c r="T201" s="29"/>
      <c r="U201" s="30"/>
      <c r="V201" s="30"/>
      <c r="W201" s="30"/>
      <c r="X201" s="30"/>
    </row>
    <row r="202" spans="1:25" s="30" customFormat="1" ht="14.45" customHeight="1" x14ac:dyDescent="0.25">
      <c r="A202" s="23">
        <v>198</v>
      </c>
      <c r="B202" s="24">
        <v>45140</v>
      </c>
      <c r="C202" s="24">
        <v>45140</v>
      </c>
      <c r="D202" s="25" t="s">
        <v>476</v>
      </c>
      <c r="E202" s="25" t="s">
        <v>784</v>
      </c>
      <c r="F202" s="25" t="s">
        <v>631</v>
      </c>
      <c r="G202" s="79">
        <f t="shared" si="6"/>
        <v>44927</v>
      </c>
      <c r="H202" s="14">
        <v>4323336181</v>
      </c>
      <c r="I202" s="25"/>
      <c r="J202" s="19" t="s">
        <v>785</v>
      </c>
      <c r="K202" s="25" t="s">
        <v>633</v>
      </c>
      <c r="L202" s="25" t="s">
        <v>144</v>
      </c>
      <c r="M202" s="25" t="s">
        <v>610</v>
      </c>
      <c r="N202" s="25">
        <v>100</v>
      </c>
      <c r="O202" s="25">
        <v>164.87</v>
      </c>
      <c r="P202" s="106">
        <f t="shared" si="7"/>
        <v>16487</v>
      </c>
      <c r="Q202" s="25"/>
      <c r="R202" s="24">
        <v>45159</v>
      </c>
      <c r="S202" s="26" t="s">
        <v>1018</v>
      </c>
      <c r="T202" s="24">
        <v>45175</v>
      </c>
      <c r="U202" s="25">
        <v>100</v>
      </c>
      <c r="V202" s="25" t="s">
        <v>683</v>
      </c>
      <c r="W202" s="25"/>
      <c r="X202" s="25"/>
    </row>
    <row r="203" spans="1:25" s="25" customFormat="1" ht="14.45" customHeight="1" x14ac:dyDescent="0.25">
      <c r="A203" s="28">
        <v>199</v>
      </c>
      <c r="B203" s="29">
        <v>45141</v>
      </c>
      <c r="C203" s="29">
        <v>45141</v>
      </c>
      <c r="D203" s="30" t="s">
        <v>90</v>
      </c>
      <c r="E203" s="30" t="s">
        <v>1019</v>
      </c>
      <c r="F203" s="30" t="s">
        <v>1020</v>
      </c>
      <c r="G203" s="80" t="str">
        <f t="shared" si="6"/>
        <v>NEED FORM</v>
      </c>
      <c r="H203" s="15">
        <v>8458943267</v>
      </c>
      <c r="I203" s="30"/>
      <c r="J203" s="30" t="s">
        <v>1021</v>
      </c>
      <c r="K203" s="30" t="s">
        <v>1022</v>
      </c>
      <c r="L203" s="30" t="s">
        <v>232</v>
      </c>
      <c r="M203" s="30" t="s">
        <v>1023</v>
      </c>
      <c r="N203" s="116">
        <v>2</v>
      </c>
      <c r="O203" s="30">
        <v>139.38</v>
      </c>
      <c r="P203" s="107">
        <f t="shared" si="7"/>
        <v>278.76</v>
      </c>
      <c r="Q203" s="30"/>
      <c r="R203" s="29"/>
      <c r="S203" s="31"/>
      <c r="T203" s="29"/>
      <c r="U203" s="30"/>
      <c r="V203" s="30"/>
      <c r="W203" s="30"/>
      <c r="X203" s="30"/>
    </row>
    <row r="204" spans="1:25" s="30" customFormat="1" ht="14.45" customHeight="1" x14ac:dyDescent="0.25">
      <c r="A204" s="23">
        <v>200</v>
      </c>
      <c r="B204" s="24">
        <v>45152</v>
      </c>
      <c r="C204" s="24">
        <v>45152</v>
      </c>
      <c r="D204" s="25" t="s">
        <v>95</v>
      </c>
      <c r="E204" s="25" t="s">
        <v>347</v>
      </c>
      <c r="F204" s="25" t="s">
        <v>1024</v>
      </c>
      <c r="G204" s="79" t="str">
        <f t="shared" si="6"/>
        <v>NEED FORM</v>
      </c>
      <c r="H204" s="14">
        <v>6049242930</v>
      </c>
      <c r="I204" s="25"/>
      <c r="J204" s="122" t="s">
        <v>1025</v>
      </c>
      <c r="K204" s="25" t="s">
        <v>1026</v>
      </c>
      <c r="L204" s="25" t="s">
        <v>440</v>
      </c>
      <c r="M204" s="25" t="s">
        <v>610</v>
      </c>
      <c r="N204" s="25">
        <v>2</v>
      </c>
      <c r="O204" s="25">
        <v>184.76</v>
      </c>
      <c r="P204" s="106">
        <f t="shared" si="7"/>
        <v>369.52</v>
      </c>
      <c r="Q204" s="25"/>
      <c r="R204" s="24">
        <v>45153</v>
      </c>
      <c r="S204" s="26" t="s">
        <v>24</v>
      </c>
      <c r="T204" s="24">
        <v>45175</v>
      </c>
      <c r="U204" s="25">
        <v>2</v>
      </c>
      <c r="V204" s="25" t="s">
        <v>803</v>
      </c>
      <c r="W204" s="25"/>
      <c r="X204" s="25" t="s">
        <v>1027</v>
      </c>
    </row>
    <row r="205" spans="1:25" s="25" customFormat="1" ht="14.45" customHeight="1" x14ac:dyDescent="0.25">
      <c r="A205" s="28">
        <v>201</v>
      </c>
      <c r="B205" s="29">
        <v>45149</v>
      </c>
      <c r="C205" s="29">
        <v>45152</v>
      </c>
      <c r="D205" s="30" t="s">
        <v>1028</v>
      </c>
      <c r="E205" s="30" t="s">
        <v>375</v>
      </c>
      <c r="F205" s="30" t="s">
        <v>1029</v>
      </c>
      <c r="G205" s="80" t="str">
        <f t="shared" si="6"/>
        <v>NEED FORM</v>
      </c>
      <c r="H205" s="15">
        <v>7577668400</v>
      </c>
      <c r="I205" s="30"/>
      <c r="J205" s="21" t="s">
        <v>1030</v>
      </c>
      <c r="K205" s="30"/>
      <c r="L205" s="30"/>
      <c r="M205" s="30" t="s">
        <v>639</v>
      </c>
      <c r="N205" s="30">
        <v>2</v>
      </c>
      <c r="O205" s="30">
        <v>184.76</v>
      </c>
      <c r="P205" s="107">
        <f t="shared" si="7"/>
        <v>369.52</v>
      </c>
      <c r="Q205" s="30"/>
      <c r="R205" s="29"/>
      <c r="S205" s="31"/>
      <c r="T205" s="29"/>
      <c r="U205" s="30"/>
      <c r="V205" s="30"/>
      <c r="W205" s="30"/>
      <c r="X205" s="30"/>
    </row>
    <row r="206" spans="1:25" s="30" customFormat="1" ht="14.45" customHeight="1" x14ac:dyDescent="0.25">
      <c r="A206" s="23">
        <v>202</v>
      </c>
      <c r="B206" s="24">
        <v>45153</v>
      </c>
      <c r="C206" s="24">
        <v>45153</v>
      </c>
      <c r="D206" s="25" t="s">
        <v>1031</v>
      </c>
      <c r="E206" s="25" t="s">
        <v>1032</v>
      </c>
      <c r="F206" s="25" t="s">
        <v>788</v>
      </c>
      <c r="G206" s="79">
        <f t="shared" si="6"/>
        <v>45597</v>
      </c>
      <c r="H206" s="14">
        <v>7576154137</v>
      </c>
      <c r="I206" s="25"/>
      <c r="J206" s="25" t="s">
        <v>1033</v>
      </c>
      <c r="K206" s="25" t="s">
        <v>790</v>
      </c>
      <c r="L206" s="25" t="s">
        <v>416</v>
      </c>
      <c r="M206" s="25" t="s">
        <v>639</v>
      </c>
      <c r="N206" s="25">
        <v>10</v>
      </c>
      <c r="O206" s="25">
        <v>176.36</v>
      </c>
      <c r="P206" s="106">
        <f t="shared" si="7"/>
        <v>1763.6000000000001</v>
      </c>
      <c r="Q206" s="25"/>
      <c r="R206" s="24">
        <v>45159</v>
      </c>
      <c r="S206" s="26">
        <v>4522686559</v>
      </c>
      <c r="T206" s="24">
        <v>45180</v>
      </c>
      <c r="U206" s="25">
        <v>10</v>
      </c>
      <c r="V206" s="25" t="s">
        <v>1034</v>
      </c>
      <c r="W206" s="25"/>
      <c r="X206" s="25"/>
    </row>
    <row r="207" spans="1:25" s="30" customFormat="1" ht="14.45" customHeight="1" x14ac:dyDescent="0.25">
      <c r="A207" s="28">
        <v>203</v>
      </c>
      <c r="B207" s="29">
        <v>45153</v>
      </c>
      <c r="C207" s="29">
        <v>45153</v>
      </c>
      <c r="D207" s="30" t="s">
        <v>314</v>
      </c>
      <c r="E207" s="30" t="s">
        <v>1035</v>
      </c>
      <c r="F207" s="30" t="s">
        <v>628</v>
      </c>
      <c r="G207" s="80">
        <f t="shared" si="6"/>
        <v>44562</v>
      </c>
      <c r="H207" s="15">
        <v>4323320540</v>
      </c>
      <c r="J207" s="21" t="s">
        <v>1036</v>
      </c>
      <c r="K207" s="30" t="s">
        <v>633</v>
      </c>
      <c r="L207" s="30" t="s">
        <v>144</v>
      </c>
      <c r="M207" s="30" t="s">
        <v>610</v>
      </c>
      <c r="N207" s="30">
        <v>1</v>
      </c>
      <c r="O207" s="30">
        <v>300</v>
      </c>
      <c r="P207" s="107">
        <f t="shared" si="7"/>
        <v>300</v>
      </c>
      <c r="R207" s="29"/>
      <c r="S207" s="31"/>
      <c r="T207" s="29"/>
      <c r="V207" s="30" t="s">
        <v>1034</v>
      </c>
    </row>
    <row r="208" spans="1:25" s="25" customFormat="1" ht="14.45" customHeight="1" x14ac:dyDescent="0.25">
      <c r="A208" s="28">
        <v>204</v>
      </c>
      <c r="B208" s="29">
        <v>45153</v>
      </c>
      <c r="C208" s="29">
        <v>45153</v>
      </c>
      <c r="D208" s="30" t="s">
        <v>175</v>
      </c>
      <c r="E208" s="30" t="s">
        <v>262</v>
      </c>
      <c r="F208" s="30" t="s">
        <v>1037</v>
      </c>
      <c r="G208" s="80" t="str">
        <f t="shared" si="6"/>
        <v>NEED FORM</v>
      </c>
      <c r="H208" s="15">
        <v>8003477340</v>
      </c>
      <c r="I208" s="30"/>
      <c r="J208" s="30" t="s">
        <v>1038</v>
      </c>
      <c r="K208" s="30" t="s">
        <v>1039</v>
      </c>
      <c r="L208" s="30" t="s">
        <v>1040</v>
      </c>
      <c r="M208" s="30" t="s">
        <v>610</v>
      </c>
      <c r="N208" s="30">
        <v>2</v>
      </c>
      <c r="O208" s="30">
        <v>184.76</v>
      </c>
      <c r="P208" s="107" t="e">
        <f t="shared" si="7"/>
        <v>#VALUE!</v>
      </c>
      <c r="Q208" s="30" t="s">
        <v>1041</v>
      </c>
      <c r="R208" s="29"/>
      <c r="S208" s="31"/>
      <c r="T208" s="29"/>
      <c r="U208" s="30"/>
      <c r="V208" s="30" t="s">
        <v>1042</v>
      </c>
      <c r="W208" s="30"/>
      <c r="X208" s="30"/>
      <c r="Y208" s="25" t="s">
        <v>671</v>
      </c>
    </row>
    <row r="209" spans="1:25" s="30" customFormat="1" ht="14.45" customHeight="1" x14ac:dyDescent="0.25">
      <c r="A209" s="23">
        <v>205</v>
      </c>
      <c r="B209" s="24">
        <v>45153</v>
      </c>
      <c r="C209" s="24">
        <v>45153</v>
      </c>
      <c r="D209" s="25" t="s">
        <v>666</v>
      </c>
      <c r="E209" s="25" t="s">
        <v>484</v>
      </c>
      <c r="F209" s="25" t="s">
        <v>667</v>
      </c>
      <c r="G209" s="79">
        <f t="shared" si="6"/>
        <v>45310</v>
      </c>
      <c r="H209" s="14">
        <v>4092423351</v>
      </c>
      <c r="I209" s="25"/>
      <c r="J209" s="19" t="s">
        <v>668</v>
      </c>
      <c r="K209" s="25" t="s">
        <v>669</v>
      </c>
      <c r="L209" s="25" t="s">
        <v>144</v>
      </c>
      <c r="M209" s="25" t="s">
        <v>608</v>
      </c>
      <c r="N209" s="25">
        <v>2</v>
      </c>
      <c r="O209" s="25">
        <v>190.72</v>
      </c>
      <c r="P209" s="106">
        <f t="shared" si="7"/>
        <v>381.46999999999997</v>
      </c>
      <c r="Q209" s="32">
        <v>0.03</v>
      </c>
      <c r="R209" s="24">
        <v>45132</v>
      </c>
      <c r="S209" s="26" t="s">
        <v>1005</v>
      </c>
      <c r="T209" s="24">
        <v>45174</v>
      </c>
      <c r="U209" s="25">
        <v>2</v>
      </c>
      <c r="V209" s="25" t="s">
        <v>803</v>
      </c>
      <c r="W209" s="25"/>
      <c r="X209" s="25"/>
      <c r="Y209" s="30" t="s">
        <v>1043</v>
      </c>
    </row>
    <row r="210" spans="1:25" s="30" customFormat="1" ht="14.45" customHeight="1" x14ac:dyDescent="0.25">
      <c r="A210" s="28">
        <v>206</v>
      </c>
      <c r="B210" s="29">
        <v>45154</v>
      </c>
      <c r="C210" s="29">
        <v>45154</v>
      </c>
      <c r="D210" s="30" t="s">
        <v>137</v>
      </c>
      <c r="E210" s="30" t="s">
        <v>1044</v>
      </c>
      <c r="F210" s="30" t="s">
        <v>1045</v>
      </c>
      <c r="G210" s="80" t="str">
        <f t="shared" si="6"/>
        <v>NEED FORM</v>
      </c>
      <c r="H210" s="15">
        <v>9198782800</v>
      </c>
      <c r="J210" s="21" t="s">
        <v>1046</v>
      </c>
      <c r="M210" s="30" t="s">
        <v>610</v>
      </c>
      <c r="N210" s="30">
        <v>4</v>
      </c>
      <c r="O210" s="30">
        <v>184.76</v>
      </c>
      <c r="P210" s="107">
        <f t="shared" si="7"/>
        <v>739.06999999999994</v>
      </c>
      <c r="Q210" s="46">
        <v>0.03</v>
      </c>
      <c r="R210" s="29"/>
      <c r="S210" s="31"/>
      <c r="T210" s="29"/>
      <c r="V210" s="30" t="s">
        <v>803</v>
      </c>
      <c r="Y210" s="30" t="s">
        <v>803</v>
      </c>
    </row>
    <row r="211" spans="1:25" s="30" customFormat="1" ht="14.45" customHeight="1" x14ac:dyDescent="0.25">
      <c r="A211" s="28">
        <v>207</v>
      </c>
      <c r="B211" s="29">
        <v>45155</v>
      </c>
      <c r="C211" s="29">
        <v>45155</v>
      </c>
      <c r="D211" s="30" t="s">
        <v>804</v>
      </c>
      <c r="E211" s="30" t="s">
        <v>805</v>
      </c>
      <c r="F211" s="30" t="s">
        <v>806</v>
      </c>
      <c r="G211" s="80">
        <f t="shared" si="6"/>
        <v>45425</v>
      </c>
      <c r="H211" s="15">
        <v>2257732209</v>
      </c>
      <c r="J211" s="21" t="s">
        <v>807</v>
      </c>
      <c r="K211" s="30" t="s">
        <v>649</v>
      </c>
      <c r="L211" s="30" t="s">
        <v>650</v>
      </c>
      <c r="M211" s="30" t="s">
        <v>610</v>
      </c>
      <c r="N211" s="30">
        <v>2</v>
      </c>
      <c r="O211" s="30">
        <v>184.75</v>
      </c>
      <c r="P211" s="107">
        <f t="shared" si="7"/>
        <v>369.5</v>
      </c>
      <c r="R211" s="29"/>
      <c r="S211" s="31"/>
      <c r="T211" s="29"/>
    </row>
    <row r="212" spans="1:25" s="25" customFormat="1" ht="14.45" customHeight="1" x14ac:dyDescent="0.25">
      <c r="A212" s="28">
        <v>208</v>
      </c>
      <c r="B212" s="29">
        <v>45155</v>
      </c>
      <c r="C212" s="29">
        <v>45155</v>
      </c>
      <c r="D212" s="30" t="s">
        <v>183</v>
      </c>
      <c r="E212" s="30" t="s">
        <v>990</v>
      </c>
      <c r="F212" s="30" t="s">
        <v>628</v>
      </c>
      <c r="G212" s="80">
        <f t="shared" si="6"/>
        <v>44562</v>
      </c>
      <c r="H212" s="15">
        <v>4323682207</v>
      </c>
      <c r="I212" s="30"/>
      <c r="J212" s="260" t="s">
        <v>991</v>
      </c>
      <c r="K212" s="30" t="s">
        <v>633</v>
      </c>
      <c r="L212" s="30" t="s">
        <v>144</v>
      </c>
      <c r="M212" s="30" t="s">
        <v>610</v>
      </c>
      <c r="N212" s="30">
        <v>100</v>
      </c>
      <c r="O212" s="30">
        <v>164.87</v>
      </c>
      <c r="P212" s="108">
        <f t="shared" si="7"/>
        <v>16487.03</v>
      </c>
      <c r="Q212" s="46">
        <v>0.03</v>
      </c>
      <c r="R212" s="29"/>
      <c r="S212" s="31"/>
      <c r="T212" s="29"/>
      <c r="U212" s="30"/>
      <c r="V212" s="30" t="s">
        <v>896</v>
      </c>
      <c r="W212" s="30"/>
      <c r="X212" s="30"/>
    </row>
    <row r="213" spans="1:25" s="25" customFormat="1" ht="15" customHeight="1" x14ac:dyDescent="0.25">
      <c r="A213" s="23">
        <v>209</v>
      </c>
      <c r="B213" s="24">
        <v>45156</v>
      </c>
      <c r="C213" s="24">
        <v>45156</v>
      </c>
      <c r="D213" s="25" t="s">
        <v>407</v>
      </c>
      <c r="E213" s="25" t="s">
        <v>893</v>
      </c>
      <c r="F213" s="25" t="s">
        <v>628</v>
      </c>
      <c r="G213" s="79">
        <f t="shared" si="6"/>
        <v>44562</v>
      </c>
      <c r="H213" s="14">
        <v>2817876691</v>
      </c>
      <c r="J213" s="19" t="s">
        <v>895</v>
      </c>
      <c r="K213" s="25" t="s">
        <v>633</v>
      </c>
      <c r="L213" s="25" t="s">
        <v>144</v>
      </c>
      <c r="M213" s="25" t="s">
        <v>610</v>
      </c>
      <c r="N213" s="25">
        <v>90</v>
      </c>
      <c r="O213" s="25">
        <v>164.87</v>
      </c>
      <c r="P213" s="106">
        <f t="shared" si="7"/>
        <v>14838.300000000001</v>
      </c>
      <c r="Q213" s="32"/>
      <c r="R213" s="24">
        <v>45159</v>
      </c>
      <c r="S213" s="26">
        <v>9341852</v>
      </c>
      <c r="T213" s="24">
        <v>45194</v>
      </c>
      <c r="U213" s="25">
        <v>90</v>
      </c>
      <c r="V213" s="25" t="s">
        <v>896</v>
      </c>
      <c r="Y213" s="25" t="s">
        <v>1047</v>
      </c>
    </row>
    <row r="214" spans="1:25" s="25" customFormat="1" ht="15" customHeight="1" x14ac:dyDescent="0.25">
      <c r="A214" s="23">
        <v>210</v>
      </c>
      <c r="B214" s="24">
        <v>45159</v>
      </c>
      <c r="C214" s="24">
        <v>45063</v>
      </c>
      <c r="D214" s="25" t="s">
        <v>508</v>
      </c>
      <c r="E214" s="25" t="s">
        <v>658</v>
      </c>
      <c r="F214" s="27" t="s">
        <v>659</v>
      </c>
      <c r="G214" s="81">
        <f t="shared" si="6"/>
        <v>45637</v>
      </c>
      <c r="H214" s="14">
        <v>8458965973</v>
      </c>
      <c r="J214" s="19" t="s">
        <v>660</v>
      </c>
      <c r="M214" s="25" t="s">
        <v>610</v>
      </c>
      <c r="N214" s="25">
        <v>3</v>
      </c>
      <c r="O214" s="25">
        <v>184.76</v>
      </c>
      <c r="P214" s="106">
        <f t="shared" si="7"/>
        <v>1040.28</v>
      </c>
      <c r="Q214" s="25">
        <v>486</v>
      </c>
      <c r="R214" s="24">
        <v>45159</v>
      </c>
      <c r="S214" s="26">
        <v>1273</v>
      </c>
      <c r="T214" s="24">
        <v>45160</v>
      </c>
      <c r="U214" s="25">
        <v>3</v>
      </c>
      <c r="Y214" s="25" t="s">
        <v>1047</v>
      </c>
    </row>
    <row r="215" spans="1:25" s="25" customFormat="1" ht="14.45" customHeight="1" x14ac:dyDescent="0.25">
      <c r="A215" s="23">
        <v>211</v>
      </c>
      <c r="B215" s="24">
        <v>45159</v>
      </c>
      <c r="C215" s="24">
        <v>45063</v>
      </c>
      <c r="D215" s="25" t="s">
        <v>508</v>
      </c>
      <c r="E215" s="25" t="s">
        <v>658</v>
      </c>
      <c r="F215" s="27" t="s">
        <v>659</v>
      </c>
      <c r="G215" s="81">
        <f t="shared" si="6"/>
        <v>45637</v>
      </c>
      <c r="H215" s="14">
        <v>8458965973</v>
      </c>
      <c r="J215" s="19" t="s">
        <v>660</v>
      </c>
      <c r="M215" s="25" t="s">
        <v>934</v>
      </c>
      <c r="N215" s="115">
        <v>3</v>
      </c>
      <c r="O215" s="25">
        <v>139.38</v>
      </c>
      <c r="P215" s="106">
        <f t="shared" si="7"/>
        <v>524.70000000000005</v>
      </c>
      <c r="Q215" s="25">
        <v>106.56</v>
      </c>
      <c r="R215" s="24">
        <v>45159</v>
      </c>
      <c r="S215" s="26">
        <v>1273</v>
      </c>
      <c r="T215" s="24">
        <v>45149</v>
      </c>
      <c r="U215" s="25">
        <v>3</v>
      </c>
    </row>
    <row r="216" spans="1:25" s="30" customFormat="1" ht="14.45" customHeight="1" x14ac:dyDescent="0.25">
      <c r="A216" s="23">
        <v>212</v>
      </c>
      <c r="B216" s="24">
        <v>45159</v>
      </c>
      <c r="C216" s="24">
        <v>45159</v>
      </c>
      <c r="D216" s="25" t="s">
        <v>476</v>
      </c>
      <c r="E216" s="25" t="s">
        <v>784</v>
      </c>
      <c r="F216" s="25" t="s">
        <v>631</v>
      </c>
      <c r="G216" s="79">
        <f t="shared" si="6"/>
        <v>44927</v>
      </c>
      <c r="H216" s="14">
        <v>4323336181</v>
      </c>
      <c r="I216" s="25"/>
      <c r="J216" s="19" t="s">
        <v>785</v>
      </c>
      <c r="K216" s="25" t="s">
        <v>633</v>
      </c>
      <c r="L216" s="25" t="s">
        <v>144</v>
      </c>
      <c r="M216" s="25" t="s">
        <v>610</v>
      </c>
      <c r="N216" s="25">
        <v>100</v>
      </c>
      <c r="O216" s="25">
        <v>164.87</v>
      </c>
      <c r="P216" s="106">
        <f t="shared" si="7"/>
        <v>16487</v>
      </c>
      <c r="Q216" s="25"/>
      <c r="R216" s="24">
        <v>45159</v>
      </c>
      <c r="S216" s="26" t="s">
        <v>1048</v>
      </c>
      <c r="T216" s="24">
        <v>45194</v>
      </c>
      <c r="U216" s="25">
        <v>100</v>
      </c>
      <c r="V216" s="25" t="s">
        <v>683</v>
      </c>
      <c r="W216" s="25"/>
      <c r="X216" s="25"/>
    </row>
    <row r="217" spans="1:25" s="25" customFormat="1" ht="14.45" customHeight="1" x14ac:dyDescent="0.25">
      <c r="A217" s="28">
        <v>213</v>
      </c>
      <c r="B217" s="29">
        <v>45153</v>
      </c>
      <c r="C217" s="29">
        <v>45161</v>
      </c>
      <c r="D217" s="30" t="s">
        <v>94</v>
      </c>
      <c r="E217" s="30" t="s">
        <v>251</v>
      </c>
      <c r="F217" s="30" t="s">
        <v>788</v>
      </c>
      <c r="G217" s="80">
        <f t="shared" si="6"/>
        <v>45597</v>
      </c>
      <c r="H217" s="15">
        <v>9198254904</v>
      </c>
      <c r="I217" s="30"/>
      <c r="J217" s="35" t="s">
        <v>1049</v>
      </c>
      <c r="K217" s="30" t="s">
        <v>141</v>
      </c>
      <c r="L217" s="30" t="s">
        <v>58</v>
      </c>
      <c r="M217" s="30" t="s">
        <v>639</v>
      </c>
      <c r="N217" s="30">
        <v>4</v>
      </c>
      <c r="O217" s="30">
        <v>184.76</v>
      </c>
      <c r="P217" s="108">
        <f t="shared" si="7"/>
        <v>739.04</v>
      </c>
      <c r="Q217" s="30"/>
      <c r="R217" s="29">
        <v>45159</v>
      </c>
      <c r="S217" s="31"/>
      <c r="T217" s="29"/>
      <c r="U217" s="30"/>
      <c r="V217" s="30" t="s">
        <v>1034</v>
      </c>
      <c r="W217" s="30"/>
      <c r="X217" s="30"/>
      <c r="Y217" s="25" t="s">
        <v>671</v>
      </c>
    </row>
    <row r="218" spans="1:25" s="30" customFormat="1" ht="14.45" customHeight="1" x14ac:dyDescent="0.25">
      <c r="A218" s="23">
        <v>214</v>
      </c>
      <c r="B218" s="24">
        <v>45168</v>
      </c>
      <c r="C218" s="24">
        <v>45168</v>
      </c>
      <c r="D218" s="25" t="s">
        <v>666</v>
      </c>
      <c r="E218" s="25" t="s">
        <v>484</v>
      </c>
      <c r="F218" s="25" t="s">
        <v>667</v>
      </c>
      <c r="G218" s="79">
        <f t="shared" si="6"/>
        <v>45310</v>
      </c>
      <c r="H218" s="14">
        <v>4092423351</v>
      </c>
      <c r="I218" s="25"/>
      <c r="J218" s="19" t="s">
        <v>668</v>
      </c>
      <c r="K218" s="25" t="s">
        <v>669</v>
      </c>
      <c r="L218" s="25" t="s">
        <v>144</v>
      </c>
      <c r="M218" s="25" t="s">
        <v>608</v>
      </c>
      <c r="N218" s="25">
        <v>2</v>
      </c>
      <c r="O218" s="25">
        <v>190.72</v>
      </c>
      <c r="P218" s="106">
        <f t="shared" si="7"/>
        <v>381.46999999999997</v>
      </c>
      <c r="Q218" s="32">
        <v>0.03</v>
      </c>
      <c r="R218" s="24">
        <v>45168</v>
      </c>
      <c r="S218" s="26" t="s">
        <v>1050</v>
      </c>
      <c r="T218" s="24">
        <v>45190</v>
      </c>
      <c r="U218" s="25">
        <v>2</v>
      </c>
      <c r="V218" s="25" t="s">
        <v>803</v>
      </c>
      <c r="W218" s="25"/>
      <c r="X218" s="25"/>
    </row>
    <row r="219" spans="1:25" s="25" customFormat="1" ht="14.45" customHeight="1" x14ac:dyDescent="0.25">
      <c r="A219" s="28">
        <v>215</v>
      </c>
      <c r="B219" s="29">
        <v>45170</v>
      </c>
      <c r="C219" s="29">
        <v>45170</v>
      </c>
      <c r="D219" s="30" t="s">
        <v>242</v>
      </c>
      <c r="E219" s="30" t="s">
        <v>1051</v>
      </c>
      <c r="F219" s="30" t="s">
        <v>631</v>
      </c>
      <c r="G219" s="80">
        <f t="shared" si="6"/>
        <v>44927</v>
      </c>
      <c r="H219" s="15"/>
      <c r="I219" s="30"/>
      <c r="J219" s="21" t="s">
        <v>1052</v>
      </c>
      <c r="K219" s="30" t="s">
        <v>937</v>
      </c>
      <c r="L219" s="30" t="s">
        <v>144</v>
      </c>
      <c r="M219" s="30" t="s">
        <v>1053</v>
      </c>
      <c r="N219" s="30">
        <v>3</v>
      </c>
      <c r="O219" s="30"/>
      <c r="P219" s="107">
        <f t="shared" si="7"/>
        <v>0</v>
      </c>
      <c r="Q219" s="30"/>
      <c r="R219" s="29"/>
      <c r="S219" s="31"/>
      <c r="T219" s="29"/>
      <c r="U219" s="30"/>
      <c r="V219" s="30"/>
      <c r="W219" s="30"/>
      <c r="X219" s="30"/>
    </row>
    <row r="220" spans="1:25" s="30" customFormat="1" ht="14.45" customHeight="1" x14ac:dyDescent="0.25">
      <c r="A220" s="23">
        <v>216</v>
      </c>
      <c r="B220" s="24">
        <v>45174</v>
      </c>
      <c r="C220" s="24">
        <v>45174</v>
      </c>
      <c r="D220" s="25" t="s">
        <v>314</v>
      </c>
      <c r="E220" s="25" t="s">
        <v>1013</v>
      </c>
      <c r="F220" s="114" t="s">
        <v>628</v>
      </c>
      <c r="G220" s="79">
        <f t="shared" si="6"/>
        <v>44562</v>
      </c>
      <c r="H220" s="14">
        <v>4322488009</v>
      </c>
      <c r="I220" s="25"/>
      <c r="J220" s="19" t="s">
        <v>1014</v>
      </c>
      <c r="K220" s="25" t="s">
        <v>505</v>
      </c>
      <c r="L220" s="25" t="s">
        <v>144</v>
      </c>
      <c r="M220" s="25" t="s">
        <v>610</v>
      </c>
      <c r="N220" s="25">
        <v>3</v>
      </c>
      <c r="O220" s="25">
        <v>307.94</v>
      </c>
      <c r="P220" s="106">
        <f t="shared" si="7"/>
        <v>923.81999999999994</v>
      </c>
      <c r="Q220" s="25"/>
      <c r="R220" s="24">
        <v>45174</v>
      </c>
      <c r="S220" s="26">
        <v>9360187</v>
      </c>
      <c r="T220" s="24">
        <v>45175</v>
      </c>
      <c r="U220" s="25">
        <v>3</v>
      </c>
      <c r="V220" s="25" t="s">
        <v>683</v>
      </c>
      <c r="W220" s="25"/>
      <c r="X220" s="25" t="s">
        <v>1015</v>
      </c>
    </row>
    <row r="221" spans="1:25" s="25" customFormat="1" ht="14.45" customHeight="1" x14ac:dyDescent="0.25">
      <c r="A221" s="28">
        <v>217</v>
      </c>
      <c r="B221" s="29">
        <v>45175</v>
      </c>
      <c r="C221" s="29">
        <v>45175</v>
      </c>
      <c r="D221" s="30" t="s">
        <v>244</v>
      </c>
      <c r="E221" s="30" t="s">
        <v>1016</v>
      </c>
      <c r="F221" s="30" t="s">
        <v>788</v>
      </c>
      <c r="G221" s="80">
        <f t="shared" si="6"/>
        <v>45597</v>
      </c>
      <c r="H221" s="15"/>
      <c r="I221" s="30"/>
      <c r="J221" s="21" t="s">
        <v>1017</v>
      </c>
      <c r="K221" s="30" t="s">
        <v>633</v>
      </c>
      <c r="L221" s="30" t="s">
        <v>144</v>
      </c>
      <c r="M221" s="30" t="s">
        <v>611</v>
      </c>
      <c r="N221" s="30">
        <v>2</v>
      </c>
      <c r="O221" s="30">
        <v>184.76</v>
      </c>
      <c r="P221" s="107">
        <f t="shared" si="7"/>
        <v>369.52</v>
      </c>
      <c r="Q221" s="30"/>
      <c r="R221" s="29"/>
      <c r="S221" s="31"/>
      <c r="T221" s="29"/>
      <c r="U221" s="30"/>
      <c r="V221" s="30" t="s">
        <v>683</v>
      </c>
      <c r="W221" s="30"/>
      <c r="X221" s="30"/>
    </row>
    <row r="222" spans="1:25" s="30" customFormat="1" ht="14.45" customHeight="1" x14ac:dyDescent="0.25">
      <c r="A222" s="23">
        <v>218</v>
      </c>
      <c r="B222" s="24">
        <v>45175</v>
      </c>
      <c r="C222" s="24">
        <v>45175</v>
      </c>
      <c r="D222" s="25" t="s">
        <v>890</v>
      </c>
      <c r="E222" s="25" t="s">
        <v>891</v>
      </c>
      <c r="F222" s="25" t="s">
        <v>628</v>
      </c>
      <c r="G222" s="79">
        <f t="shared" si="6"/>
        <v>44562</v>
      </c>
      <c r="H222" s="14">
        <v>4323682207</v>
      </c>
      <c r="I222" s="25"/>
      <c r="J222" s="19" t="s">
        <v>892</v>
      </c>
      <c r="K222" s="25" t="s">
        <v>846</v>
      </c>
      <c r="L222" s="25" t="s">
        <v>650</v>
      </c>
      <c r="M222" s="25" t="s">
        <v>610</v>
      </c>
      <c r="N222" s="25">
        <v>6</v>
      </c>
      <c r="O222" s="25">
        <v>180.56</v>
      </c>
      <c r="P222" s="106">
        <f t="shared" si="7"/>
        <v>1083.3600000000001</v>
      </c>
      <c r="Q222" s="32"/>
      <c r="R222" s="24">
        <v>45037</v>
      </c>
      <c r="S222" s="26">
        <v>9361673</v>
      </c>
      <c r="T222" s="24">
        <v>45175</v>
      </c>
      <c r="U222" s="25">
        <v>6</v>
      </c>
      <c r="V222" s="25" t="s">
        <v>896</v>
      </c>
      <c r="W222" s="25"/>
      <c r="X222" s="25"/>
    </row>
    <row r="223" spans="1:25" s="25" customFormat="1" ht="14.45" customHeight="1" x14ac:dyDescent="0.25">
      <c r="A223" s="28">
        <v>219</v>
      </c>
      <c r="B223" s="29">
        <v>45180</v>
      </c>
      <c r="C223" s="29">
        <v>45180</v>
      </c>
      <c r="D223" s="30" t="s">
        <v>273</v>
      </c>
      <c r="E223" s="30" t="s">
        <v>1054</v>
      </c>
      <c r="F223" s="30" t="s">
        <v>1055</v>
      </c>
      <c r="G223" s="80" t="str">
        <f t="shared" si="6"/>
        <v>NEED FORM</v>
      </c>
      <c r="H223" s="15">
        <v>3076827203</v>
      </c>
      <c r="I223" s="30"/>
      <c r="J223" s="30" t="s">
        <v>1056</v>
      </c>
      <c r="K223" s="30" t="s">
        <v>1057</v>
      </c>
      <c r="L223" s="30" t="s">
        <v>1058</v>
      </c>
      <c r="M223" s="30" t="s">
        <v>610</v>
      </c>
      <c r="N223" s="30">
        <v>2</v>
      </c>
      <c r="O223" s="30">
        <v>184.76</v>
      </c>
      <c r="P223" s="107">
        <f t="shared" si="7"/>
        <v>369.52</v>
      </c>
      <c r="Q223" s="30"/>
      <c r="R223" s="29"/>
      <c r="S223" s="31"/>
      <c r="T223" s="29"/>
      <c r="U223" s="30"/>
      <c r="V223" s="116" t="s">
        <v>1059</v>
      </c>
      <c r="W223" s="30"/>
      <c r="X223" s="30"/>
    </row>
    <row r="224" spans="1:25" s="25" customFormat="1" ht="15.75" customHeight="1" x14ac:dyDescent="0.25">
      <c r="A224" s="23">
        <v>220</v>
      </c>
      <c r="B224" s="24">
        <v>45181</v>
      </c>
      <c r="C224" s="24">
        <v>45181</v>
      </c>
      <c r="D224" s="25" t="s">
        <v>890</v>
      </c>
      <c r="E224" s="25" t="s">
        <v>891</v>
      </c>
      <c r="F224" s="25" t="s">
        <v>628</v>
      </c>
      <c r="G224" s="79">
        <f t="shared" si="6"/>
        <v>44562</v>
      </c>
      <c r="H224" s="14">
        <v>4323682207</v>
      </c>
      <c r="J224" s="19" t="s">
        <v>892</v>
      </c>
      <c r="K224" s="25" t="s">
        <v>846</v>
      </c>
      <c r="L224" s="25" t="s">
        <v>650</v>
      </c>
      <c r="M224" s="25" t="s">
        <v>610</v>
      </c>
      <c r="N224" s="25">
        <v>13</v>
      </c>
      <c r="O224" s="25">
        <v>176.36</v>
      </c>
      <c r="P224" s="106">
        <f t="shared" si="7"/>
        <v>2292.6800000000003</v>
      </c>
      <c r="Q224" s="32"/>
      <c r="R224" s="24">
        <v>45182</v>
      </c>
      <c r="S224" s="26">
        <v>9370233</v>
      </c>
      <c r="T224" s="24">
        <v>45203</v>
      </c>
      <c r="U224" s="25">
        <v>13</v>
      </c>
      <c r="V224" s="25" t="s">
        <v>896</v>
      </c>
    </row>
    <row r="225" spans="1:25" s="30" customFormat="1" ht="14.45" customHeight="1" x14ac:dyDescent="0.25">
      <c r="A225" s="23">
        <v>221</v>
      </c>
      <c r="B225" s="24">
        <v>45187</v>
      </c>
      <c r="C225" s="24">
        <v>45187</v>
      </c>
      <c r="D225" s="25" t="s">
        <v>634</v>
      </c>
      <c r="E225" s="25" t="s">
        <v>635</v>
      </c>
      <c r="F225" s="25" t="s">
        <v>652</v>
      </c>
      <c r="G225" s="79" t="str">
        <f t="shared" si="6"/>
        <v>CANADA</v>
      </c>
      <c r="H225" s="14">
        <v>7043762800</v>
      </c>
      <c r="I225" s="25"/>
      <c r="J225" s="19" t="s">
        <v>637</v>
      </c>
      <c r="K225" s="27" t="s">
        <v>653</v>
      </c>
      <c r="L225" s="25" t="s">
        <v>440</v>
      </c>
      <c r="M225" s="25" t="s">
        <v>610</v>
      </c>
      <c r="N225" s="25">
        <v>25</v>
      </c>
      <c r="O225" s="25">
        <v>168.99</v>
      </c>
      <c r="P225" s="106">
        <f t="shared" si="7"/>
        <v>4249.75</v>
      </c>
      <c r="Q225" s="25">
        <v>25</v>
      </c>
      <c r="R225" s="24">
        <v>44774</v>
      </c>
      <c r="S225" s="26" t="s">
        <v>1060</v>
      </c>
      <c r="T225" s="24">
        <v>45246</v>
      </c>
      <c r="U225" s="25">
        <v>25</v>
      </c>
      <c r="V225" s="25" t="s">
        <v>1034</v>
      </c>
      <c r="W225" s="25"/>
      <c r="X225" s="25" t="s">
        <v>1061</v>
      </c>
    </row>
    <row r="226" spans="1:25" s="25" customFormat="1" ht="14.45" customHeight="1" x14ac:dyDescent="0.25">
      <c r="A226" s="28">
        <v>222</v>
      </c>
      <c r="B226" s="29">
        <v>45191</v>
      </c>
      <c r="C226" s="29"/>
      <c r="D226" s="30" t="s">
        <v>276</v>
      </c>
      <c r="E226" s="30" t="s">
        <v>1062</v>
      </c>
      <c r="F226" s="30" t="s">
        <v>1063</v>
      </c>
      <c r="G226" s="80" t="str">
        <f t="shared" si="6"/>
        <v>NEED FORM</v>
      </c>
      <c r="H226" s="15" t="s">
        <v>1064</v>
      </c>
      <c r="I226" s="30"/>
      <c r="J226" s="30" t="s">
        <v>1065</v>
      </c>
      <c r="K226" s="30" t="s">
        <v>1057</v>
      </c>
      <c r="L226" s="30" t="s">
        <v>1058</v>
      </c>
      <c r="M226" s="30" t="s">
        <v>610</v>
      </c>
      <c r="N226" s="30">
        <v>2</v>
      </c>
      <c r="O226" s="30">
        <v>184.76</v>
      </c>
      <c r="P226" s="107">
        <f t="shared" si="7"/>
        <v>369.52</v>
      </c>
      <c r="Q226" s="30"/>
      <c r="R226" s="29"/>
      <c r="S226" s="31"/>
      <c r="T226" s="29"/>
      <c r="U226" s="30"/>
      <c r="V226" s="30" t="s">
        <v>1059</v>
      </c>
      <c r="W226" s="30"/>
      <c r="X226" s="30"/>
      <c r="Y226" s="25" t="s">
        <v>852</v>
      </c>
    </row>
    <row r="227" spans="1:25" s="25" customFormat="1" ht="14.45" customHeight="1" x14ac:dyDescent="0.25">
      <c r="A227" s="23">
        <v>223</v>
      </c>
      <c r="B227" s="24">
        <v>45194</v>
      </c>
      <c r="C227" s="24">
        <v>45163</v>
      </c>
      <c r="D227" s="25" t="s">
        <v>334</v>
      </c>
      <c r="E227" s="25" t="s">
        <v>847</v>
      </c>
      <c r="F227" s="25" t="s">
        <v>361</v>
      </c>
      <c r="G227" s="79">
        <f t="shared" si="6"/>
        <v>45336</v>
      </c>
      <c r="H227" s="14">
        <v>5048358888</v>
      </c>
      <c r="J227" s="25" t="s">
        <v>848</v>
      </c>
      <c r="K227" s="25" t="s">
        <v>849</v>
      </c>
      <c r="L227" s="25" t="s">
        <v>850</v>
      </c>
      <c r="M227" s="25" t="s">
        <v>610</v>
      </c>
      <c r="N227" s="25">
        <v>10</v>
      </c>
      <c r="O227" s="25">
        <v>184.76</v>
      </c>
      <c r="P227" s="106">
        <f t="shared" si="7"/>
        <v>1847.6</v>
      </c>
      <c r="Q227" s="32"/>
      <c r="R227" s="24">
        <v>44980</v>
      </c>
      <c r="S227" s="26" t="s">
        <v>1066</v>
      </c>
      <c r="T227" s="24">
        <v>45216</v>
      </c>
      <c r="U227" s="25">
        <v>10</v>
      </c>
      <c r="V227" s="25" t="s">
        <v>683</v>
      </c>
      <c r="Y227" s="25" t="s">
        <v>852</v>
      </c>
    </row>
    <row r="228" spans="1:25" s="25" customFormat="1" ht="14.45" customHeight="1" x14ac:dyDescent="0.25">
      <c r="A228" s="23">
        <v>223</v>
      </c>
      <c r="B228" s="24">
        <v>45194</v>
      </c>
      <c r="C228" s="24">
        <v>45163</v>
      </c>
      <c r="D228" s="25" t="s">
        <v>334</v>
      </c>
      <c r="E228" s="25" t="s">
        <v>847</v>
      </c>
      <c r="F228" s="25" t="s">
        <v>361</v>
      </c>
      <c r="G228" s="79">
        <f t="shared" si="6"/>
        <v>45336</v>
      </c>
      <c r="H228" s="14">
        <v>5048358888</v>
      </c>
      <c r="J228" s="25" t="s">
        <v>848</v>
      </c>
      <c r="K228" s="25" t="s">
        <v>849</v>
      </c>
      <c r="L228" s="25" t="s">
        <v>850</v>
      </c>
      <c r="M228" s="25" t="s">
        <v>610</v>
      </c>
      <c r="N228" s="25">
        <v>1</v>
      </c>
      <c r="O228" s="25">
        <v>300</v>
      </c>
      <c r="P228" s="106">
        <f t="shared" si="7"/>
        <v>300</v>
      </c>
      <c r="Q228" s="32"/>
      <c r="R228" s="24">
        <v>44980</v>
      </c>
      <c r="S228" s="26" t="s">
        <v>1067</v>
      </c>
      <c r="T228" s="24">
        <v>45216</v>
      </c>
      <c r="U228" s="25">
        <v>1</v>
      </c>
      <c r="V228" s="25" t="s">
        <v>683</v>
      </c>
    </row>
    <row r="229" spans="1:25" s="30" customFormat="1" ht="14.45" customHeight="1" x14ac:dyDescent="0.25">
      <c r="A229" s="23">
        <v>225</v>
      </c>
      <c r="B229" s="24">
        <v>45195</v>
      </c>
      <c r="C229" s="24">
        <v>45195</v>
      </c>
      <c r="D229" s="25" t="s">
        <v>137</v>
      </c>
      <c r="E229" s="25" t="s">
        <v>1068</v>
      </c>
      <c r="F229" s="25" t="s">
        <v>788</v>
      </c>
      <c r="G229" s="79">
        <f t="shared" si="6"/>
        <v>45597</v>
      </c>
      <c r="H229" s="14">
        <v>9198254926</v>
      </c>
      <c r="I229" s="25"/>
      <c r="J229" s="117" t="s">
        <v>1069</v>
      </c>
      <c r="K229" s="25" t="s">
        <v>633</v>
      </c>
      <c r="L229" s="25" t="s">
        <v>144</v>
      </c>
      <c r="M229" s="25" t="s">
        <v>610</v>
      </c>
      <c r="N229" s="25">
        <v>4</v>
      </c>
      <c r="O229" s="25">
        <v>184.76</v>
      </c>
      <c r="P229" s="106">
        <f t="shared" si="7"/>
        <v>739.04</v>
      </c>
      <c r="Q229" s="25"/>
      <c r="R229" s="24">
        <v>45218</v>
      </c>
      <c r="S229" s="26">
        <v>4522806609</v>
      </c>
      <c r="T229" s="24">
        <v>45240</v>
      </c>
      <c r="U229" s="25">
        <v>4</v>
      </c>
      <c r="V229" s="25" t="s">
        <v>683</v>
      </c>
      <c r="W229" s="25"/>
      <c r="X229" s="25"/>
    </row>
    <row r="230" spans="1:25" s="30" customFormat="1" ht="14.45" customHeight="1" x14ac:dyDescent="0.25">
      <c r="A230" s="28">
        <v>226</v>
      </c>
      <c r="B230" s="29">
        <v>45196</v>
      </c>
      <c r="C230" s="29">
        <v>45196</v>
      </c>
      <c r="D230" s="30" t="s">
        <v>258</v>
      </c>
      <c r="E230" s="30" t="s">
        <v>1070</v>
      </c>
      <c r="F230" s="30" t="s">
        <v>1071</v>
      </c>
      <c r="G230" s="80" t="str">
        <f t="shared" si="6"/>
        <v>NEED FORM</v>
      </c>
      <c r="H230" s="15">
        <v>3145691394</v>
      </c>
      <c r="J230" s="119" t="s">
        <v>1072</v>
      </c>
      <c r="K230" s="30" t="s">
        <v>1073</v>
      </c>
      <c r="L230" s="30" t="s">
        <v>418</v>
      </c>
      <c r="M230" s="30" t="s">
        <v>1074</v>
      </c>
      <c r="N230" s="30">
        <v>44</v>
      </c>
      <c r="O230" s="30">
        <v>152.78</v>
      </c>
      <c r="P230" s="107">
        <f t="shared" si="7"/>
        <v>6722.32</v>
      </c>
      <c r="R230" s="29"/>
      <c r="S230" s="31"/>
      <c r="T230" s="29"/>
    </row>
    <row r="231" spans="1:25" s="25" customFormat="1" ht="14.45" customHeight="1" x14ac:dyDescent="0.25">
      <c r="A231" s="28">
        <v>226</v>
      </c>
      <c r="B231" s="29">
        <v>45203</v>
      </c>
      <c r="C231" s="29">
        <v>45203</v>
      </c>
      <c r="D231" s="30" t="s">
        <v>258</v>
      </c>
      <c r="E231" s="30" t="s">
        <v>1070</v>
      </c>
      <c r="F231" s="30" t="s">
        <v>1071</v>
      </c>
      <c r="G231" s="80" t="str">
        <f t="shared" si="6"/>
        <v>NEED FORM</v>
      </c>
      <c r="H231" s="15">
        <v>3145691394</v>
      </c>
      <c r="I231" s="30"/>
      <c r="J231" s="134" t="s">
        <v>1072</v>
      </c>
      <c r="K231" s="30" t="s">
        <v>1073</v>
      </c>
      <c r="L231" s="30" t="s">
        <v>418</v>
      </c>
      <c r="M231" s="30" t="s">
        <v>1075</v>
      </c>
      <c r="N231" s="30">
        <v>80</v>
      </c>
      <c r="O231" s="30">
        <v>131.91</v>
      </c>
      <c r="P231" s="107">
        <f t="shared" si="7"/>
        <v>10552.8</v>
      </c>
      <c r="Q231" s="30"/>
      <c r="R231" s="29"/>
      <c r="S231" s="31"/>
      <c r="T231" s="29"/>
      <c r="U231" s="30"/>
      <c r="V231" s="30"/>
      <c r="W231" s="30"/>
      <c r="X231" s="30"/>
    </row>
    <row r="232" spans="1:25" s="25" customFormat="1" ht="14.45" customHeight="1" x14ac:dyDescent="0.25">
      <c r="A232" s="23">
        <v>227</v>
      </c>
      <c r="B232" s="24">
        <v>45197</v>
      </c>
      <c r="C232" s="24">
        <v>45198</v>
      </c>
      <c r="D232" s="25" t="s">
        <v>137</v>
      </c>
      <c r="E232" s="25" t="s">
        <v>340</v>
      </c>
      <c r="F232" s="25" t="s">
        <v>1076</v>
      </c>
      <c r="G232" s="79">
        <f t="shared" si="6"/>
        <v>45376</v>
      </c>
      <c r="H232" s="14">
        <v>3462014184</v>
      </c>
      <c r="J232" s="25" t="s">
        <v>1077</v>
      </c>
      <c r="K232" s="25" t="s">
        <v>1078</v>
      </c>
      <c r="L232" s="25" t="s">
        <v>144</v>
      </c>
      <c r="M232" s="25" t="s">
        <v>611</v>
      </c>
      <c r="N232" s="25">
        <v>3</v>
      </c>
      <c r="O232" s="25">
        <v>205.29</v>
      </c>
      <c r="P232" s="106">
        <f t="shared" si="7"/>
        <v>951.52</v>
      </c>
      <c r="Q232" s="25">
        <f>307.94+27.71</f>
        <v>335.65</v>
      </c>
      <c r="R232" s="24">
        <v>45197</v>
      </c>
      <c r="S232" s="26" t="s">
        <v>24</v>
      </c>
      <c r="T232" s="24">
        <v>45198</v>
      </c>
      <c r="U232" s="25">
        <v>3</v>
      </c>
      <c r="V232" s="25" t="s">
        <v>1041</v>
      </c>
      <c r="X232" s="25" t="s">
        <v>1079</v>
      </c>
    </row>
    <row r="233" spans="1:25" s="25" customFormat="1" ht="14.45" customHeight="1" x14ac:dyDescent="0.25">
      <c r="A233" s="23">
        <v>228</v>
      </c>
      <c r="B233" s="24">
        <v>45201</v>
      </c>
      <c r="C233" s="24">
        <v>45201</v>
      </c>
      <c r="D233" s="25" t="s">
        <v>244</v>
      </c>
      <c r="E233" s="25" t="s">
        <v>1006</v>
      </c>
      <c r="F233" s="25" t="s">
        <v>641</v>
      </c>
      <c r="G233" s="79">
        <f t="shared" si="6"/>
        <v>45359</v>
      </c>
      <c r="H233" s="14">
        <v>3618822565</v>
      </c>
      <c r="J233" s="19" t="s">
        <v>1007</v>
      </c>
      <c r="K233" s="25" t="s">
        <v>643</v>
      </c>
      <c r="L233" s="25" t="s">
        <v>144</v>
      </c>
      <c r="M233" s="25" t="s">
        <v>611</v>
      </c>
      <c r="N233" s="25">
        <v>1</v>
      </c>
      <c r="O233" s="25">
        <v>262.44</v>
      </c>
      <c r="P233" s="106">
        <f t="shared" si="7"/>
        <v>277.32</v>
      </c>
      <c r="Q233" s="25">
        <v>14.88</v>
      </c>
      <c r="R233" s="24">
        <v>45135</v>
      </c>
      <c r="S233" s="26" t="s">
        <v>1080</v>
      </c>
      <c r="T233" s="24">
        <v>45223</v>
      </c>
      <c r="U233" s="25">
        <v>1</v>
      </c>
      <c r="V233" s="25" t="s">
        <v>803</v>
      </c>
    </row>
    <row r="234" spans="1:25" s="25" customFormat="1" ht="14.45" customHeight="1" x14ac:dyDescent="0.25">
      <c r="A234" s="23">
        <v>229</v>
      </c>
      <c r="B234" s="24">
        <v>45201</v>
      </c>
      <c r="C234" s="24">
        <v>45201</v>
      </c>
      <c r="D234" s="25" t="s">
        <v>244</v>
      </c>
      <c r="E234" s="25" t="s">
        <v>1006</v>
      </c>
      <c r="F234" s="25" t="s">
        <v>641</v>
      </c>
      <c r="G234" s="79">
        <f t="shared" si="6"/>
        <v>45359</v>
      </c>
      <c r="H234" s="14">
        <v>3618822565</v>
      </c>
      <c r="J234" s="19" t="s">
        <v>1007</v>
      </c>
      <c r="K234" s="25" t="s">
        <v>643</v>
      </c>
      <c r="L234" s="25" t="s">
        <v>144</v>
      </c>
      <c r="M234" s="25" t="s">
        <v>610</v>
      </c>
      <c r="N234" s="25">
        <v>1</v>
      </c>
      <c r="O234" s="25">
        <v>233.28</v>
      </c>
      <c r="P234" s="106">
        <f t="shared" si="7"/>
        <v>233.28</v>
      </c>
      <c r="R234" s="24">
        <v>45135</v>
      </c>
      <c r="S234" s="26" t="s">
        <v>1080</v>
      </c>
      <c r="T234" s="24">
        <v>45223</v>
      </c>
      <c r="U234" s="25">
        <v>1</v>
      </c>
      <c r="V234" s="25" t="s">
        <v>803</v>
      </c>
      <c r="Y234" s="25" t="s">
        <v>1081</v>
      </c>
    </row>
    <row r="235" spans="1:25" s="25" customFormat="1" ht="14.45" customHeight="1" x14ac:dyDescent="0.25">
      <c r="A235" s="23">
        <v>230</v>
      </c>
      <c r="B235" s="24">
        <v>45209</v>
      </c>
      <c r="C235" s="24">
        <v>45209</v>
      </c>
      <c r="D235" s="25" t="s">
        <v>1082</v>
      </c>
      <c r="E235" s="25" t="s">
        <v>309</v>
      </c>
      <c r="F235" s="25" t="s">
        <v>1083</v>
      </c>
      <c r="G235" s="79">
        <f t="shared" si="6"/>
        <v>45692</v>
      </c>
      <c r="H235" s="14">
        <v>8136630701</v>
      </c>
      <c r="J235" s="25" t="s">
        <v>1084</v>
      </c>
      <c r="K235" s="25" t="s">
        <v>1085</v>
      </c>
      <c r="L235" s="25" t="s">
        <v>154</v>
      </c>
      <c r="M235" s="25" t="s">
        <v>610</v>
      </c>
      <c r="N235" s="25">
        <v>24</v>
      </c>
      <c r="O235" s="25">
        <v>176.36</v>
      </c>
      <c r="P235" s="106">
        <v>5656.6</v>
      </c>
      <c r="R235" s="24">
        <v>45246</v>
      </c>
      <c r="S235" s="26" t="s">
        <v>1086</v>
      </c>
      <c r="T235" s="24">
        <v>45275</v>
      </c>
      <c r="U235" s="25">
        <v>24</v>
      </c>
    </row>
    <row r="236" spans="1:25" s="30" customFormat="1" ht="14.45" customHeight="1" x14ac:dyDescent="0.25">
      <c r="A236" s="23">
        <v>231</v>
      </c>
      <c r="B236" s="24">
        <v>45211</v>
      </c>
      <c r="C236" s="24">
        <v>45211</v>
      </c>
      <c r="D236" s="25" t="s">
        <v>286</v>
      </c>
      <c r="E236" s="25" t="s">
        <v>1087</v>
      </c>
      <c r="F236" s="25" t="s">
        <v>1088</v>
      </c>
      <c r="G236" s="79" t="s">
        <v>1061</v>
      </c>
      <c r="H236" s="14">
        <v>6046305185</v>
      </c>
      <c r="I236" s="25"/>
      <c r="J236" s="25" t="s">
        <v>1089</v>
      </c>
      <c r="K236" s="25" t="s">
        <v>1090</v>
      </c>
      <c r="L236" s="25" t="s">
        <v>739</v>
      </c>
      <c r="M236" s="25" t="s">
        <v>610</v>
      </c>
      <c r="N236" s="25">
        <v>30</v>
      </c>
      <c r="O236" s="25">
        <v>168.99</v>
      </c>
      <c r="P236" s="106">
        <f t="shared" ref="P236:P267" si="8">N236*O236+Q236</f>
        <v>5480.52</v>
      </c>
      <c r="Q236" s="25">
        <f>15+236.19+159.63</f>
        <v>410.82</v>
      </c>
      <c r="R236" s="24">
        <v>45238</v>
      </c>
      <c r="S236" s="26" t="s">
        <v>1091</v>
      </c>
      <c r="T236" s="24">
        <v>45259</v>
      </c>
      <c r="U236" s="25">
        <v>30</v>
      </c>
      <c r="V236" s="25" t="s">
        <v>1092</v>
      </c>
      <c r="W236" s="25"/>
      <c r="X236" s="25"/>
    </row>
    <row r="237" spans="1:25" s="30" customFormat="1" ht="14.45" customHeight="1" x14ac:dyDescent="0.25">
      <c r="A237" s="28">
        <v>232</v>
      </c>
      <c r="B237" s="29">
        <v>45211</v>
      </c>
      <c r="C237" s="29">
        <v>45211</v>
      </c>
      <c r="D237" s="30" t="s">
        <v>152</v>
      </c>
      <c r="E237" s="30" t="s">
        <v>495</v>
      </c>
      <c r="F237" s="30" t="s">
        <v>631</v>
      </c>
      <c r="G237" s="80">
        <f t="shared" ref="G237:G268" si="9">_xlfn.IFNA(VLOOKUP(F237,TAX,2,FALSE), "NEED FORM")</f>
        <v>44927</v>
      </c>
      <c r="H237" s="15">
        <v>3256582867</v>
      </c>
      <c r="J237" s="30" t="s">
        <v>1093</v>
      </c>
      <c r="K237" s="30" t="s">
        <v>1011</v>
      </c>
      <c r="L237" s="30" t="s">
        <v>144</v>
      </c>
      <c r="M237" s="30" t="s">
        <v>610</v>
      </c>
      <c r="N237" s="30">
        <v>100</v>
      </c>
      <c r="O237" s="30">
        <v>164.87</v>
      </c>
      <c r="P237" s="107">
        <f t="shared" si="8"/>
        <v>16487</v>
      </c>
      <c r="R237" s="29"/>
      <c r="S237" s="31"/>
      <c r="T237" s="29"/>
      <c r="V237" s="30" t="s">
        <v>683</v>
      </c>
    </row>
    <row r="238" spans="1:25" s="25" customFormat="1" ht="14.45" customHeight="1" x14ac:dyDescent="0.25">
      <c r="A238" s="28">
        <v>233</v>
      </c>
      <c r="B238" s="29">
        <v>45212</v>
      </c>
      <c r="C238" s="29">
        <v>45212</v>
      </c>
      <c r="D238" s="30" t="s">
        <v>131</v>
      </c>
      <c r="E238" s="30" t="s">
        <v>1094</v>
      </c>
      <c r="F238" s="30" t="s">
        <v>628</v>
      </c>
      <c r="G238" s="80">
        <f t="shared" si="9"/>
        <v>44562</v>
      </c>
      <c r="H238" s="15">
        <v>3256772984</v>
      </c>
      <c r="I238" s="30"/>
      <c r="J238" s="30" t="s">
        <v>1095</v>
      </c>
      <c r="K238" s="30"/>
      <c r="L238" s="30"/>
      <c r="M238" s="30" t="s">
        <v>610</v>
      </c>
      <c r="N238" s="30">
        <v>100</v>
      </c>
      <c r="O238" s="30">
        <v>164.87</v>
      </c>
      <c r="P238" s="107">
        <f t="shared" si="8"/>
        <v>16487</v>
      </c>
      <c r="Q238" s="30"/>
      <c r="R238" s="29"/>
      <c r="S238" s="31"/>
      <c r="T238" s="29"/>
      <c r="U238" s="30"/>
      <c r="V238" s="30" t="s">
        <v>683</v>
      </c>
      <c r="W238" s="30"/>
      <c r="X238" s="30"/>
    </row>
    <row r="239" spans="1:25" s="25" customFormat="1" ht="14.45" customHeight="1" x14ac:dyDescent="0.25">
      <c r="A239" s="23">
        <v>234</v>
      </c>
      <c r="B239" s="24">
        <v>45218</v>
      </c>
      <c r="C239" s="24">
        <v>45218</v>
      </c>
      <c r="D239" s="25" t="s">
        <v>314</v>
      </c>
      <c r="E239" s="25" t="s">
        <v>1035</v>
      </c>
      <c r="F239" s="122" t="s">
        <v>628</v>
      </c>
      <c r="G239" s="79">
        <f t="shared" si="9"/>
        <v>44562</v>
      </c>
      <c r="H239" s="14">
        <v>4323320540</v>
      </c>
      <c r="J239" s="25" t="s">
        <v>1036</v>
      </c>
      <c r="K239" s="25" t="s">
        <v>633</v>
      </c>
      <c r="L239" s="25" t="s">
        <v>144</v>
      </c>
      <c r="M239" s="25" t="s">
        <v>611</v>
      </c>
      <c r="N239" s="25">
        <v>13</v>
      </c>
      <c r="O239" s="25">
        <v>195.96</v>
      </c>
      <c r="P239" s="106">
        <f t="shared" si="8"/>
        <v>3311.6800000000003</v>
      </c>
      <c r="Q239" s="25">
        <v>764.2</v>
      </c>
      <c r="R239" s="24">
        <v>45204</v>
      </c>
      <c r="S239" s="26">
        <v>9416221</v>
      </c>
      <c r="T239" s="24">
        <v>45225</v>
      </c>
      <c r="U239" s="25">
        <v>13</v>
      </c>
      <c r="V239" s="25" t="s">
        <v>683</v>
      </c>
      <c r="X239" s="25" t="s">
        <v>1096</v>
      </c>
    </row>
    <row r="240" spans="1:25" s="25" customFormat="1" ht="14.45" customHeight="1" x14ac:dyDescent="0.25">
      <c r="A240" s="23">
        <v>235</v>
      </c>
      <c r="B240" s="24">
        <v>45218</v>
      </c>
      <c r="C240" s="24">
        <v>45219</v>
      </c>
      <c r="D240" s="25" t="s">
        <v>453</v>
      </c>
      <c r="E240" s="25" t="s">
        <v>1097</v>
      </c>
      <c r="F240" s="122" t="s">
        <v>1098</v>
      </c>
      <c r="G240" s="79" t="str">
        <f t="shared" si="9"/>
        <v>Requested</v>
      </c>
      <c r="H240" s="14">
        <v>9059794305</v>
      </c>
      <c r="J240" s="25" t="s">
        <v>1099</v>
      </c>
      <c r="K240" s="25" t="s">
        <v>472</v>
      </c>
      <c r="L240" s="25" t="s">
        <v>440</v>
      </c>
      <c r="M240" s="25" t="s">
        <v>610</v>
      </c>
      <c r="N240" s="25">
        <v>3</v>
      </c>
      <c r="O240" s="25">
        <v>192.29</v>
      </c>
      <c r="P240" s="106">
        <f t="shared" si="8"/>
        <v>576.87</v>
      </c>
      <c r="R240" s="24">
        <v>45280</v>
      </c>
      <c r="S240" s="26">
        <v>4300399</v>
      </c>
      <c r="T240" s="24">
        <v>45308</v>
      </c>
      <c r="U240" s="25">
        <v>3</v>
      </c>
      <c r="V240" s="25" t="s">
        <v>1041</v>
      </c>
      <c r="X240" s="25" t="s">
        <v>1100</v>
      </c>
    </row>
    <row r="241" spans="1:25" s="30" customFormat="1" ht="14.45" customHeight="1" x14ac:dyDescent="0.25">
      <c r="A241" s="23">
        <v>236</v>
      </c>
      <c r="B241" s="24">
        <v>45218</v>
      </c>
      <c r="C241" s="24">
        <v>45219</v>
      </c>
      <c r="D241" s="25" t="s">
        <v>453</v>
      </c>
      <c r="E241" s="25" t="s">
        <v>1097</v>
      </c>
      <c r="F241" s="25" t="s">
        <v>1098</v>
      </c>
      <c r="G241" s="79" t="str">
        <f t="shared" si="9"/>
        <v>Requested</v>
      </c>
      <c r="H241" s="14">
        <v>9059794305</v>
      </c>
      <c r="I241" s="25"/>
      <c r="J241" s="25" t="s">
        <v>1099</v>
      </c>
      <c r="K241" s="25" t="s">
        <v>472</v>
      </c>
      <c r="L241" s="25" t="s">
        <v>440</v>
      </c>
      <c r="M241" s="25" t="s">
        <v>611</v>
      </c>
      <c r="N241" s="25">
        <v>3</v>
      </c>
      <c r="O241" s="25">
        <v>213.95</v>
      </c>
      <c r="P241" s="106">
        <f t="shared" si="8"/>
        <v>641.84999999999991</v>
      </c>
      <c r="Q241" s="25"/>
      <c r="R241" s="24">
        <v>45280</v>
      </c>
      <c r="S241" s="26">
        <v>4300399</v>
      </c>
      <c r="T241" s="24">
        <v>45308</v>
      </c>
      <c r="U241" s="25">
        <v>3</v>
      </c>
      <c r="V241" s="25" t="s">
        <v>1041</v>
      </c>
      <c r="W241" s="25"/>
      <c r="X241" s="25" t="s">
        <v>1100</v>
      </c>
    </row>
    <row r="242" spans="1:25" s="30" customFormat="1" ht="14.45" customHeight="1" x14ac:dyDescent="0.25">
      <c r="A242" s="28">
        <v>237</v>
      </c>
      <c r="B242" s="29">
        <v>45219</v>
      </c>
      <c r="C242" s="29">
        <v>45219</v>
      </c>
      <c r="D242" s="30" t="s">
        <v>378</v>
      </c>
      <c r="E242" s="30" t="s">
        <v>1101</v>
      </c>
      <c r="F242" s="30" t="s">
        <v>1102</v>
      </c>
      <c r="G242" s="80" t="str">
        <f t="shared" si="9"/>
        <v>NEED FORM</v>
      </c>
      <c r="H242" s="15">
        <v>5407227902</v>
      </c>
      <c r="J242" s="30" t="s">
        <v>1103</v>
      </c>
      <c r="K242" s="30" t="s">
        <v>141</v>
      </c>
      <c r="L242" s="30" t="s">
        <v>58</v>
      </c>
      <c r="M242" s="30" t="s">
        <v>639</v>
      </c>
      <c r="N242" s="30">
        <v>1</v>
      </c>
      <c r="O242" s="30">
        <v>233.28</v>
      </c>
      <c r="P242" s="107">
        <f t="shared" si="8"/>
        <v>233.28</v>
      </c>
      <c r="R242" s="29"/>
      <c r="S242" s="31"/>
      <c r="T242" s="29"/>
    </row>
    <row r="243" spans="1:25" s="30" customFormat="1" ht="14.45" customHeight="1" x14ac:dyDescent="0.25">
      <c r="A243" s="28">
        <v>238</v>
      </c>
      <c r="B243" s="29">
        <v>45219</v>
      </c>
      <c r="C243" s="29">
        <v>45219</v>
      </c>
      <c r="D243" s="30" t="s">
        <v>378</v>
      </c>
      <c r="E243" s="30" t="s">
        <v>1101</v>
      </c>
      <c r="F243" s="30" t="s">
        <v>1102</v>
      </c>
      <c r="G243" s="80" t="str">
        <f t="shared" si="9"/>
        <v>NEED FORM</v>
      </c>
      <c r="H243" s="15">
        <v>5407227902</v>
      </c>
      <c r="J243" s="30" t="s">
        <v>1103</v>
      </c>
      <c r="K243" s="30" t="s">
        <v>141</v>
      </c>
      <c r="L243" s="30" t="s">
        <v>58</v>
      </c>
      <c r="M243" s="30" t="s">
        <v>608</v>
      </c>
      <c r="N243" s="30">
        <v>1</v>
      </c>
      <c r="O243" s="30">
        <v>233.28</v>
      </c>
      <c r="P243" s="107">
        <f t="shared" si="8"/>
        <v>233.28</v>
      </c>
      <c r="R243" s="29"/>
      <c r="S243" s="31"/>
      <c r="T243" s="29"/>
    </row>
    <row r="244" spans="1:25" s="30" customFormat="1" ht="14.45" customHeight="1" x14ac:dyDescent="0.25">
      <c r="A244" s="28">
        <v>239</v>
      </c>
      <c r="B244" s="29">
        <v>45219</v>
      </c>
      <c r="C244" s="29">
        <v>45219</v>
      </c>
      <c r="D244" s="30" t="s">
        <v>378</v>
      </c>
      <c r="E244" s="30" t="s">
        <v>1101</v>
      </c>
      <c r="F244" s="30" t="s">
        <v>1102</v>
      </c>
      <c r="G244" s="80" t="str">
        <f t="shared" si="9"/>
        <v>NEED FORM</v>
      </c>
      <c r="H244" s="15">
        <v>5407227902</v>
      </c>
      <c r="J244" s="30" t="s">
        <v>1103</v>
      </c>
      <c r="K244" s="30" t="s">
        <v>141</v>
      </c>
      <c r="L244" s="30" t="s">
        <v>58</v>
      </c>
      <c r="M244" s="30" t="s">
        <v>610</v>
      </c>
      <c r="N244" s="30">
        <v>1</v>
      </c>
      <c r="O244" s="30">
        <v>233.28</v>
      </c>
      <c r="P244" s="107">
        <f t="shared" si="8"/>
        <v>233.28</v>
      </c>
      <c r="R244" s="29"/>
      <c r="S244" s="31"/>
      <c r="T244" s="29"/>
    </row>
    <row r="245" spans="1:25" s="30" customFormat="1" ht="14.45" customHeight="1" x14ac:dyDescent="0.25">
      <c r="A245" s="28">
        <v>240</v>
      </c>
      <c r="B245" s="29">
        <v>45219</v>
      </c>
      <c r="C245" s="29">
        <v>45219</v>
      </c>
      <c r="D245" s="30" t="s">
        <v>378</v>
      </c>
      <c r="E245" s="30" t="s">
        <v>1101</v>
      </c>
      <c r="F245" s="30" t="s">
        <v>1102</v>
      </c>
      <c r="G245" s="80" t="str">
        <f t="shared" si="9"/>
        <v>NEED FORM</v>
      </c>
      <c r="H245" s="15">
        <v>5407227902</v>
      </c>
      <c r="J245" s="30" t="s">
        <v>1103</v>
      </c>
      <c r="K245" s="30" t="s">
        <v>141</v>
      </c>
      <c r="L245" s="30" t="s">
        <v>58</v>
      </c>
      <c r="M245" s="30" t="s">
        <v>723</v>
      </c>
      <c r="N245" s="30">
        <v>1</v>
      </c>
      <c r="O245" s="30">
        <v>262.44</v>
      </c>
      <c r="P245" s="107">
        <f t="shared" si="8"/>
        <v>262.44</v>
      </c>
      <c r="R245" s="29"/>
      <c r="S245" s="31"/>
      <c r="T245" s="29"/>
    </row>
    <row r="246" spans="1:25" s="30" customFormat="1" ht="14.45" customHeight="1" x14ac:dyDescent="0.25">
      <c r="A246" s="28">
        <v>241</v>
      </c>
      <c r="B246" s="29">
        <v>45219</v>
      </c>
      <c r="C246" s="29">
        <v>45219</v>
      </c>
      <c r="D246" s="30" t="s">
        <v>378</v>
      </c>
      <c r="E246" s="30" t="s">
        <v>1101</v>
      </c>
      <c r="F246" s="30" t="s">
        <v>1102</v>
      </c>
      <c r="G246" s="80" t="str">
        <f t="shared" si="9"/>
        <v>NEED FORM</v>
      </c>
      <c r="H246" s="15">
        <v>5407227902</v>
      </c>
      <c r="J246" t="s">
        <v>1103</v>
      </c>
      <c r="K246" t="s">
        <v>141</v>
      </c>
      <c r="L246" s="30" t="s">
        <v>58</v>
      </c>
      <c r="M246" s="30" t="s">
        <v>611</v>
      </c>
      <c r="N246" s="30">
        <v>1</v>
      </c>
      <c r="O246" s="30">
        <v>262.44</v>
      </c>
      <c r="P246" s="107">
        <f t="shared" si="8"/>
        <v>262.44</v>
      </c>
      <c r="R246" s="29"/>
      <c r="S246" s="31"/>
      <c r="T246" s="29"/>
    </row>
    <row r="247" spans="1:25" s="30" customFormat="1" ht="14.45" customHeight="1" x14ac:dyDescent="0.25">
      <c r="A247" s="28">
        <v>242</v>
      </c>
      <c r="B247" s="29">
        <v>45222</v>
      </c>
      <c r="C247" s="29">
        <v>45222</v>
      </c>
      <c r="D247" s="30" t="s">
        <v>183</v>
      </c>
      <c r="E247" s="30" t="s">
        <v>1104</v>
      </c>
      <c r="F247" s="30" t="s">
        <v>1105</v>
      </c>
      <c r="G247" s="80" t="str">
        <f t="shared" si="9"/>
        <v>NEED FORM</v>
      </c>
      <c r="H247" s="15">
        <v>62643311</v>
      </c>
      <c r="J247" s="118" t="s">
        <v>1106</v>
      </c>
      <c r="K247" s="30" t="s">
        <v>899</v>
      </c>
      <c r="M247" s="30" t="s">
        <v>611</v>
      </c>
      <c r="N247" s="30">
        <v>50</v>
      </c>
      <c r="O247" s="30">
        <v>184.76</v>
      </c>
      <c r="P247" s="107">
        <f t="shared" si="8"/>
        <v>9238</v>
      </c>
      <c r="R247" s="29"/>
      <c r="S247" s="31"/>
      <c r="T247" s="29"/>
      <c r="X247" s="30" t="s">
        <v>1107</v>
      </c>
    </row>
    <row r="248" spans="1:25" s="25" customFormat="1" ht="14.45" customHeight="1" x14ac:dyDescent="0.25">
      <c r="A248" s="28">
        <v>243</v>
      </c>
      <c r="B248" s="29">
        <v>45222</v>
      </c>
      <c r="C248" s="29">
        <v>45222</v>
      </c>
      <c r="D248" s="30" t="s">
        <v>451</v>
      </c>
      <c r="E248" s="30" t="s">
        <v>546</v>
      </c>
      <c r="F248" s="30" t="s">
        <v>1108</v>
      </c>
      <c r="G248" s="80" t="str">
        <f t="shared" si="9"/>
        <v>NEED FORM</v>
      </c>
      <c r="H248" s="15"/>
      <c r="I248" s="30"/>
      <c r="J248" s="21" t="s">
        <v>1109</v>
      </c>
      <c r="K248" s="30" t="s">
        <v>1110</v>
      </c>
      <c r="L248" s="30" t="s">
        <v>96</v>
      </c>
      <c r="M248" s="30" t="s">
        <v>608</v>
      </c>
      <c r="N248" s="30">
        <v>1</v>
      </c>
      <c r="O248" s="30">
        <v>233.28</v>
      </c>
      <c r="P248" s="107">
        <f t="shared" si="8"/>
        <v>233.28</v>
      </c>
      <c r="Q248" s="30"/>
      <c r="R248" s="29"/>
      <c r="S248" s="31"/>
      <c r="T248" s="29"/>
      <c r="U248" s="30"/>
      <c r="V248" s="30"/>
      <c r="W248" s="30"/>
      <c r="X248" s="30"/>
    </row>
    <row r="249" spans="1:25" s="30" customFormat="1" ht="14.45" customHeight="1" x14ac:dyDescent="0.25">
      <c r="A249" s="23">
        <v>244</v>
      </c>
      <c r="B249" s="24">
        <v>45222</v>
      </c>
      <c r="C249" s="24">
        <v>45222</v>
      </c>
      <c r="D249" s="25" t="s">
        <v>234</v>
      </c>
      <c r="E249" s="25" t="s">
        <v>877</v>
      </c>
      <c r="F249" s="25" t="s">
        <v>361</v>
      </c>
      <c r="G249" s="79">
        <f t="shared" si="9"/>
        <v>45336</v>
      </c>
      <c r="H249" s="14">
        <v>7143677024</v>
      </c>
      <c r="I249" s="25"/>
      <c r="J249" s="122" t="s">
        <v>878</v>
      </c>
      <c r="K249" s="25" t="s">
        <v>879</v>
      </c>
      <c r="L249" s="25" t="s">
        <v>174</v>
      </c>
      <c r="M249" s="25" t="s">
        <v>610</v>
      </c>
      <c r="N249" s="25">
        <v>15</v>
      </c>
      <c r="O249" s="25">
        <v>176.36</v>
      </c>
      <c r="P249" s="106">
        <f t="shared" si="8"/>
        <v>2645.4</v>
      </c>
      <c r="Q249" s="25"/>
      <c r="R249" s="24">
        <v>45225</v>
      </c>
      <c r="S249" s="26" t="s">
        <v>1111</v>
      </c>
      <c r="T249" s="24">
        <v>45246</v>
      </c>
      <c r="U249" s="25">
        <v>15</v>
      </c>
      <c r="V249" s="25" t="s">
        <v>683</v>
      </c>
      <c r="W249" s="25"/>
      <c r="X249" s="25"/>
    </row>
    <row r="250" spans="1:25" s="30" customFormat="1" ht="14.45" customHeight="1" x14ac:dyDescent="0.25">
      <c r="A250" s="28">
        <v>245</v>
      </c>
      <c r="B250" s="29">
        <v>45223</v>
      </c>
      <c r="C250" s="29">
        <v>45223</v>
      </c>
      <c r="D250" s="30" t="s">
        <v>1112</v>
      </c>
      <c r="E250" s="30" t="s">
        <v>1113</v>
      </c>
      <c r="F250" s="30" t="s">
        <v>1114</v>
      </c>
      <c r="G250" s="80" t="str">
        <f t="shared" si="9"/>
        <v>NEED FORM</v>
      </c>
      <c r="H250" s="15">
        <v>4237370740</v>
      </c>
      <c r="J250" s="30" t="s">
        <v>1115</v>
      </c>
      <c r="K250" s="30" t="s">
        <v>1116</v>
      </c>
      <c r="L250" s="30" t="s">
        <v>650</v>
      </c>
      <c r="M250" s="30" t="s">
        <v>610</v>
      </c>
      <c r="N250" s="30">
        <v>3</v>
      </c>
      <c r="O250" s="30">
        <v>184.76</v>
      </c>
      <c r="P250" s="107">
        <f t="shared" si="8"/>
        <v>554.28</v>
      </c>
      <c r="R250" s="29"/>
      <c r="S250" s="31"/>
      <c r="T250" s="29"/>
      <c r="X250" s="30" t="s">
        <v>1117</v>
      </c>
    </row>
    <row r="251" spans="1:25" s="25" customFormat="1" ht="14.45" customHeight="1" x14ac:dyDescent="0.25">
      <c r="A251" s="28">
        <v>245</v>
      </c>
      <c r="B251" s="29">
        <v>45223</v>
      </c>
      <c r="C251" s="29">
        <v>45223</v>
      </c>
      <c r="D251" s="30" t="s">
        <v>183</v>
      </c>
      <c r="E251" s="30" t="s">
        <v>318</v>
      </c>
      <c r="F251" s="30" t="s">
        <v>361</v>
      </c>
      <c r="G251" s="80">
        <f t="shared" si="9"/>
        <v>45336</v>
      </c>
      <c r="H251" s="15">
        <v>5043307331</v>
      </c>
      <c r="I251" s="30"/>
      <c r="J251" s="30" t="s">
        <v>1118</v>
      </c>
      <c r="K251" s="30" t="s">
        <v>1119</v>
      </c>
      <c r="L251" s="30" t="s">
        <v>650</v>
      </c>
      <c r="M251" s="30" t="s">
        <v>610</v>
      </c>
      <c r="N251" s="30">
        <v>3</v>
      </c>
      <c r="O251" s="30">
        <v>184.76</v>
      </c>
      <c r="P251" s="108">
        <f t="shared" si="8"/>
        <v>554.28</v>
      </c>
      <c r="Q251" s="30"/>
      <c r="R251" s="29"/>
      <c r="S251" s="31"/>
      <c r="T251" s="29"/>
      <c r="U251" s="30"/>
      <c r="V251" s="30" t="s">
        <v>683</v>
      </c>
      <c r="W251" s="30"/>
      <c r="X251" s="30" t="s">
        <v>1120</v>
      </c>
    </row>
    <row r="252" spans="1:25" s="25" customFormat="1" ht="14.45" customHeight="1" x14ac:dyDescent="0.25">
      <c r="A252" s="23">
        <v>247</v>
      </c>
      <c r="B252" s="24">
        <v>45223</v>
      </c>
      <c r="C252" s="24">
        <v>45223</v>
      </c>
      <c r="D252" s="25" t="s">
        <v>1121</v>
      </c>
      <c r="E252" s="25" t="s">
        <v>1122</v>
      </c>
      <c r="F252" s="25" t="s">
        <v>423</v>
      </c>
      <c r="G252" s="79" t="str">
        <f t="shared" si="9"/>
        <v>NEED FORM</v>
      </c>
      <c r="H252" s="14">
        <v>5043307331</v>
      </c>
      <c r="J252" s="25" t="s">
        <v>1123</v>
      </c>
      <c r="K252" s="25" t="s">
        <v>505</v>
      </c>
      <c r="L252" s="25" t="s">
        <v>144</v>
      </c>
      <c r="M252" s="25" t="s">
        <v>610</v>
      </c>
      <c r="N252" s="25">
        <v>3</v>
      </c>
      <c r="O252" s="25">
        <v>184.76</v>
      </c>
      <c r="P252" s="106">
        <f t="shared" si="8"/>
        <v>554.28</v>
      </c>
      <c r="R252" s="24">
        <v>45209</v>
      </c>
      <c r="S252" s="26">
        <v>4395143</v>
      </c>
      <c r="T252" s="24">
        <v>45230</v>
      </c>
      <c r="U252" s="25">
        <v>3</v>
      </c>
      <c r="V252" s="25" t="s">
        <v>683</v>
      </c>
      <c r="X252" s="25" t="s">
        <v>1124</v>
      </c>
    </row>
    <row r="253" spans="1:25" s="25" customFormat="1" ht="14.45" customHeight="1" x14ac:dyDescent="0.25">
      <c r="A253" s="23">
        <v>248</v>
      </c>
      <c r="B253" s="24">
        <v>45225</v>
      </c>
      <c r="C253" s="24">
        <v>45225</v>
      </c>
      <c r="D253" s="25" t="s">
        <v>407</v>
      </c>
      <c r="E253" s="25" t="s">
        <v>1009</v>
      </c>
      <c r="F253" s="25" t="s">
        <v>631</v>
      </c>
      <c r="G253" s="79">
        <f t="shared" si="9"/>
        <v>44927</v>
      </c>
      <c r="H253" s="14">
        <v>3256582867</v>
      </c>
      <c r="J253" s="19" t="s">
        <v>1010</v>
      </c>
      <c r="K253" s="25" t="s">
        <v>1011</v>
      </c>
      <c r="L253" s="25" t="s">
        <v>938</v>
      </c>
      <c r="M253" s="25" t="s">
        <v>610</v>
      </c>
      <c r="N253" s="25">
        <v>100</v>
      </c>
      <c r="O253" s="25">
        <v>164.87</v>
      </c>
      <c r="P253" s="106">
        <f t="shared" si="8"/>
        <v>16487</v>
      </c>
      <c r="R253" s="24">
        <v>45226</v>
      </c>
      <c r="S253" s="26" t="s">
        <v>1125</v>
      </c>
      <c r="T253" s="24">
        <v>45247</v>
      </c>
      <c r="U253" s="25">
        <v>100</v>
      </c>
      <c r="V253" s="25" t="s">
        <v>683</v>
      </c>
      <c r="X253" s="25" t="s">
        <v>1126</v>
      </c>
    </row>
    <row r="254" spans="1:25" s="25" customFormat="1" ht="14.45" customHeight="1" x14ac:dyDescent="0.25">
      <c r="A254" s="23">
        <v>249</v>
      </c>
      <c r="B254" s="24">
        <v>45230</v>
      </c>
      <c r="C254" s="24">
        <v>45230</v>
      </c>
      <c r="D254" s="25" t="s">
        <v>326</v>
      </c>
      <c r="E254" s="25" t="s">
        <v>126</v>
      </c>
      <c r="F254" s="25" t="s">
        <v>628</v>
      </c>
      <c r="G254" s="79">
        <f t="shared" si="9"/>
        <v>44562</v>
      </c>
      <c r="H254" s="14">
        <v>4323320540</v>
      </c>
      <c r="J254" s="25" t="s">
        <v>1127</v>
      </c>
      <c r="K254" s="25" t="s">
        <v>633</v>
      </c>
      <c r="L254" s="25" t="s">
        <v>144</v>
      </c>
      <c r="M254" s="25" t="s">
        <v>610</v>
      </c>
      <c r="N254" s="25">
        <v>3</v>
      </c>
      <c r="O254" s="25">
        <v>184.76</v>
      </c>
      <c r="P254" s="106">
        <f t="shared" si="8"/>
        <v>554.28</v>
      </c>
      <c r="R254" s="24">
        <v>45226</v>
      </c>
      <c r="S254" s="26"/>
      <c r="T254" s="24">
        <v>45247</v>
      </c>
      <c r="U254" s="25">
        <v>3</v>
      </c>
      <c r="V254" s="25" t="s">
        <v>683</v>
      </c>
      <c r="Y254" s="25" t="s">
        <v>438</v>
      </c>
    </row>
    <row r="255" spans="1:25" s="25" customFormat="1" ht="14.45" customHeight="1" x14ac:dyDescent="0.25">
      <c r="A255" s="23">
        <v>250</v>
      </c>
      <c r="B255" s="24">
        <v>45231</v>
      </c>
      <c r="C255" s="24">
        <v>45231</v>
      </c>
      <c r="D255" s="25" t="s">
        <v>1128</v>
      </c>
      <c r="E255" s="25" t="s">
        <v>1129</v>
      </c>
      <c r="F255" s="25" t="s">
        <v>615</v>
      </c>
      <c r="G255" s="79">
        <f t="shared" si="9"/>
        <v>45286</v>
      </c>
      <c r="H255" s="14">
        <v>6641270205</v>
      </c>
      <c r="J255" s="25" t="s">
        <v>1130</v>
      </c>
      <c r="K255" s="25" t="s">
        <v>1131</v>
      </c>
      <c r="L255" s="25" t="s">
        <v>174</v>
      </c>
      <c r="M255" s="25" t="s">
        <v>610</v>
      </c>
      <c r="N255" s="25">
        <v>105</v>
      </c>
      <c r="O255" s="25">
        <v>167.18</v>
      </c>
      <c r="P255" s="106">
        <f t="shared" si="8"/>
        <v>17553.900000000001</v>
      </c>
      <c r="R255" s="24">
        <v>45231</v>
      </c>
      <c r="S255" s="26">
        <v>3011235765</v>
      </c>
      <c r="T255" s="24">
        <v>45252</v>
      </c>
      <c r="U255" s="25">
        <v>105</v>
      </c>
      <c r="V255" s="25" t="s">
        <v>989</v>
      </c>
    </row>
    <row r="256" spans="1:25" s="25" customFormat="1" ht="14.45" customHeight="1" x14ac:dyDescent="0.25">
      <c r="A256" s="23">
        <v>251</v>
      </c>
      <c r="B256" s="24">
        <v>45239</v>
      </c>
      <c r="C256" s="24">
        <v>45239</v>
      </c>
      <c r="D256" s="25" t="s">
        <v>219</v>
      </c>
      <c r="E256" s="25" t="s">
        <v>1132</v>
      </c>
      <c r="F256" s="25" t="s">
        <v>361</v>
      </c>
      <c r="G256" s="79">
        <f t="shared" si="9"/>
        <v>45336</v>
      </c>
      <c r="H256" s="14">
        <v>7143677021</v>
      </c>
      <c r="J256" s="25" t="s">
        <v>1133</v>
      </c>
      <c r="K256" s="25" t="s">
        <v>879</v>
      </c>
      <c r="L256" s="25" t="s">
        <v>174</v>
      </c>
      <c r="M256" s="25" t="s">
        <v>639</v>
      </c>
      <c r="N256" s="25">
        <v>39</v>
      </c>
      <c r="O256" s="25">
        <v>168.99</v>
      </c>
      <c r="P256" s="106">
        <f t="shared" si="8"/>
        <v>6590.6100000000006</v>
      </c>
      <c r="R256" s="24">
        <v>45259</v>
      </c>
      <c r="S256" s="26" t="s">
        <v>1134</v>
      </c>
      <c r="T256" s="24">
        <v>45280</v>
      </c>
      <c r="U256" s="25">
        <v>39</v>
      </c>
      <c r="V256" s="25" t="s">
        <v>683</v>
      </c>
    </row>
    <row r="257" spans="1:25" s="25" customFormat="1" ht="14.45" customHeight="1" x14ac:dyDescent="0.25">
      <c r="A257" s="23">
        <v>251</v>
      </c>
      <c r="B257" s="24">
        <v>45239</v>
      </c>
      <c r="C257" s="24">
        <v>45239</v>
      </c>
      <c r="D257" s="25" t="s">
        <v>219</v>
      </c>
      <c r="E257" s="25" t="s">
        <v>1132</v>
      </c>
      <c r="F257" s="25" t="s">
        <v>361</v>
      </c>
      <c r="G257" s="79">
        <f t="shared" si="9"/>
        <v>45336</v>
      </c>
      <c r="H257" s="14">
        <v>7143677021</v>
      </c>
      <c r="J257" s="25" t="s">
        <v>1133</v>
      </c>
      <c r="K257" s="25" t="s">
        <v>879</v>
      </c>
      <c r="L257" s="25" t="s">
        <v>174</v>
      </c>
      <c r="M257" s="25" t="s">
        <v>608</v>
      </c>
      <c r="N257" s="25">
        <v>39</v>
      </c>
      <c r="O257" s="25">
        <v>168.99</v>
      </c>
      <c r="P257" s="106">
        <f t="shared" si="8"/>
        <v>6590.6100000000006</v>
      </c>
      <c r="R257" s="24">
        <v>45259</v>
      </c>
      <c r="S257" s="26" t="s">
        <v>1134</v>
      </c>
      <c r="T257" s="24">
        <v>45280</v>
      </c>
      <c r="U257" s="25">
        <v>39</v>
      </c>
      <c r="V257" s="25" t="s">
        <v>683</v>
      </c>
    </row>
    <row r="258" spans="1:25" s="25" customFormat="1" ht="14.45" customHeight="1" x14ac:dyDescent="0.25">
      <c r="A258" s="23">
        <v>251</v>
      </c>
      <c r="B258" s="24">
        <v>45239</v>
      </c>
      <c r="C258" s="24">
        <v>45239</v>
      </c>
      <c r="D258" s="25" t="s">
        <v>219</v>
      </c>
      <c r="E258" s="25" t="s">
        <v>1132</v>
      </c>
      <c r="F258" s="25" t="s">
        <v>361</v>
      </c>
      <c r="G258" s="79">
        <f t="shared" si="9"/>
        <v>45336</v>
      </c>
      <c r="H258" s="14">
        <v>7143677021</v>
      </c>
      <c r="J258" s="25" t="s">
        <v>1133</v>
      </c>
      <c r="K258" s="25" t="s">
        <v>879</v>
      </c>
      <c r="L258" s="25" t="s">
        <v>174</v>
      </c>
      <c r="M258" s="25" t="s">
        <v>610</v>
      </c>
      <c r="N258" s="25">
        <v>39</v>
      </c>
      <c r="O258" s="25">
        <v>168.99</v>
      </c>
      <c r="P258" s="106">
        <f t="shared" si="8"/>
        <v>6590.6100000000006</v>
      </c>
      <c r="R258" s="24">
        <v>45259</v>
      </c>
      <c r="S258" s="26" t="s">
        <v>1134</v>
      </c>
      <c r="T258" s="24">
        <v>45280</v>
      </c>
      <c r="U258" s="25">
        <v>39</v>
      </c>
      <c r="V258" s="25" t="s">
        <v>683</v>
      </c>
    </row>
    <row r="259" spans="1:25" s="25" customFormat="1" ht="14.45" customHeight="1" x14ac:dyDescent="0.25">
      <c r="A259" s="23">
        <v>251</v>
      </c>
      <c r="B259" s="24">
        <v>45239</v>
      </c>
      <c r="C259" s="24">
        <v>45239</v>
      </c>
      <c r="D259" s="25" t="s">
        <v>219</v>
      </c>
      <c r="E259" s="25" t="s">
        <v>1132</v>
      </c>
      <c r="F259" s="25" t="s">
        <v>361</v>
      </c>
      <c r="G259" s="79">
        <f t="shared" si="9"/>
        <v>45336</v>
      </c>
      <c r="H259" s="14">
        <v>7143677021</v>
      </c>
      <c r="J259" s="25" t="s">
        <v>1133</v>
      </c>
      <c r="K259" s="25" t="s">
        <v>879</v>
      </c>
      <c r="L259" s="25" t="s">
        <v>174</v>
      </c>
      <c r="M259" s="25" t="s">
        <v>611</v>
      </c>
      <c r="N259" s="25">
        <v>39</v>
      </c>
      <c r="O259" s="25">
        <v>187.76</v>
      </c>
      <c r="P259" s="106">
        <f t="shared" si="8"/>
        <v>7322.6399999999994</v>
      </c>
      <c r="R259" s="24">
        <v>45259</v>
      </c>
      <c r="S259" s="26" t="s">
        <v>1134</v>
      </c>
      <c r="T259" s="24">
        <v>45280</v>
      </c>
      <c r="U259" s="25">
        <v>39</v>
      </c>
      <c r="V259" s="25" t="s">
        <v>683</v>
      </c>
    </row>
    <row r="260" spans="1:25" s="25" customFormat="1" ht="14.45" customHeight="1" x14ac:dyDescent="0.25">
      <c r="A260" s="23">
        <v>251</v>
      </c>
      <c r="B260" s="24">
        <v>45239</v>
      </c>
      <c r="C260" s="24">
        <v>45239</v>
      </c>
      <c r="D260" s="25" t="s">
        <v>219</v>
      </c>
      <c r="E260" s="25" t="s">
        <v>1132</v>
      </c>
      <c r="F260" s="25" t="s">
        <v>361</v>
      </c>
      <c r="G260" s="79">
        <f t="shared" si="9"/>
        <v>45336</v>
      </c>
      <c r="H260" s="14">
        <v>7143677021</v>
      </c>
      <c r="J260" s="25" t="s">
        <v>1133</v>
      </c>
      <c r="K260" s="25" t="s">
        <v>879</v>
      </c>
      <c r="L260" s="25" t="s">
        <v>174</v>
      </c>
      <c r="M260" s="25" t="s">
        <v>704</v>
      </c>
      <c r="N260" s="25">
        <v>11</v>
      </c>
      <c r="O260" s="25">
        <v>176.36</v>
      </c>
      <c r="P260" s="106">
        <f t="shared" si="8"/>
        <v>1939.96</v>
      </c>
      <c r="R260" s="24">
        <v>45259</v>
      </c>
      <c r="S260" s="26" t="s">
        <v>1134</v>
      </c>
      <c r="T260" s="24">
        <v>45280</v>
      </c>
      <c r="U260" s="25">
        <v>11</v>
      </c>
      <c r="V260" s="25" t="s">
        <v>683</v>
      </c>
    </row>
    <row r="261" spans="1:25" s="25" customFormat="1" ht="14.45" customHeight="1" x14ac:dyDescent="0.25">
      <c r="A261" s="23">
        <v>251</v>
      </c>
      <c r="B261" s="24">
        <v>45239</v>
      </c>
      <c r="C261" s="24">
        <v>45239</v>
      </c>
      <c r="D261" s="25" t="s">
        <v>219</v>
      </c>
      <c r="E261" s="25" t="s">
        <v>1132</v>
      </c>
      <c r="F261" s="25" t="s">
        <v>361</v>
      </c>
      <c r="G261" s="79">
        <f t="shared" si="9"/>
        <v>45336</v>
      </c>
      <c r="H261" s="14">
        <v>7143677021</v>
      </c>
      <c r="J261" s="25" t="s">
        <v>1133</v>
      </c>
      <c r="K261" s="25" t="s">
        <v>879</v>
      </c>
      <c r="L261" s="25" t="s">
        <v>174</v>
      </c>
      <c r="M261" s="25" t="s">
        <v>625</v>
      </c>
      <c r="N261" s="25">
        <v>11</v>
      </c>
      <c r="O261" s="25">
        <v>176.36</v>
      </c>
      <c r="P261" s="106">
        <f t="shared" si="8"/>
        <v>1939.96</v>
      </c>
      <c r="R261" s="24">
        <v>45259</v>
      </c>
      <c r="S261" s="26" t="s">
        <v>1134</v>
      </c>
      <c r="T261" s="24">
        <v>45280</v>
      </c>
      <c r="U261" s="25">
        <v>11</v>
      </c>
      <c r="V261" s="25" t="s">
        <v>683</v>
      </c>
    </row>
    <row r="262" spans="1:25" s="30" customFormat="1" ht="14.45" customHeight="1" x14ac:dyDescent="0.25">
      <c r="A262" s="23">
        <v>251</v>
      </c>
      <c r="B262" s="24">
        <v>45239</v>
      </c>
      <c r="C262" s="24">
        <v>45239</v>
      </c>
      <c r="D262" s="25" t="s">
        <v>219</v>
      </c>
      <c r="E262" s="25" t="s">
        <v>1132</v>
      </c>
      <c r="F262" s="25" t="s">
        <v>361</v>
      </c>
      <c r="G262" s="79">
        <f t="shared" si="9"/>
        <v>45336</v>
      </c>
      <c r="H262" s="14">
        <v>7143677021</v>
      </c>
      <c r="I262" s="25"/>
      <c r="J262" s="25" t="s">
        <v>1133</v>
      </c>
      <c r="K262" s="25" t="s">
        <v>879</v>
      </c>
      <c r="L262" s="25" t="s">
        <v>174</v>
      </c>
      <c r="M262" s="25" t="s">
        <v>626</v>
      </c>
      <c r="N262" s="25">
        <v>11</v>
      </c>
      <c r="O262" s="25">
        <v>176.36</v>
      </c>
      <c r="P262" s="106">
        <f t="shared" si="8"/>
        <v>1939.96</v>
      </c>
      <c r="Q262" s="25"/>
      <c r="R262" s="24">
        <v>45259</v>
      </c>
      <c r="S262" s="26" t="s">
        <v>1134</v>
      </c>
      <c r="T262" s="24">
        <v>45280</v>
      </c>
      <c r="U262" s="25">
        <v>11</v>
      </c>
      <c r="V262" s="25" t="s">
        <v>683</v>
      </c>
      <c r="W262" s="25"/>
      <c r="X262" s="25"/>
    </row>
    <row r="263" spans="1:25" s="25" customFormat="1" ht="14.45" customHeight="1" x14ac:dyDescent="0.25">
      <c r="A263" s="28">
        <v>252</v>
      </c>
      <c r="B263" s="29">
        <v>45239</v>
      </c>
      <c r="C263" s="29">
        <v>45239</v>
      </c>
      <c r="D263" s="30" t="s">
        <v>68</v>
      </c>
      <c r="E263" s="30" t="s">
        <v>980</v>
      </c>
      <c r="F263" s="30" t="s">
        <v>728</v>
      </c>
      <c r="G263" s="80">
        <f t="shared" si="9"/>
        <v>45358</v>
      </c>
      <c r="H263" s="15">
        <v>6265440202</v>
      </c>
      <c r="I263" s="30"/>
      <c r="J263" s="30" t="s">
        <v>729</v>
      </c>
      <c r="K263" s="30" t="s">
        <v>981</v>
      </c>
      <c r="L263" s="30" t="s">
        <v>174</v>
      </c>
      <c r="M263" s="30" t="s">
        <v>639</v>
      </c>
      <c r="N263" s="30">
        <v>39</v>
      </c>
      <c r="O263" s="30">
        <v>168.99</v>
      </c>
      <c r="P263" s="107">
        <f t="shared" si="8"/>
        <v>6590.6100000000006</v>
      </c>
      <c r="Q263" s="30"/>
      <c r="R263" s="29"/>
      <c r="S263" s="31"/>
      <c r="T263" s="29"/>
      <c r="U263" s="30"/>
      <c r="V263" s="30"/>
      <c r="W263" s="30"/>
      <c r="X263" s="30"/>
    </row>
    <row r="264" spans="1:25" s="30" customFormat="1" ht="14.45" customHeight="1" x14ac:dyDescent="0.25">
      <c r="A264" s="23">
        <v>253</v>
      </c>
      <c r="B264" s="24">
        <v>45234</v>
      </c>
      <c r="C264" s="24">
        <v>45244</v>
      </c>
      <c r="D264" s="25" t="s">
        <v>113</v>
      </c>
      <c r="E264" s="25" t="s">
        <v>126</v>
      </c>
      <c r="F264" s="25" t="s">
        <v>628</v>
      </c>
      <c r="G264" s="79">
        <f t="shared" si="9"/>
        <v>44562</v>
      </c>
      <c r="H264" s="14">
        <v>4323320540</v>
      </c>
      <c r="I264" s="25"/>
      <c r="J264" s="25" t="s">
        <v>1127</v>
      </c>
      <c r="K264" s="25" t="s">
        <v>633</v>
      </c>
      <c r="L264" s="25" t="s">
        <v>144</v>
      </c>
      <c r="M264" s="25" t="s">
        <v>610</v>
      </c>
      <c r="N264" s="25">
        <v>2</v>
      </c>
      <c r="O264" s="25">
        <v>263.95</v>
      </c>
      <c r="P264" s="106">
        <f t="shared" si="8"/>
        <v>527.9</v>
      </c>
      <c r="Q264" s="25"/>
      <c r="R264" s="24">
        <v>45231</v>
      </c>
      <c r="S264" s="26">
        <v>9447681</v>
      </c>
      <c r="T264" s="24">
        <v>45252</v>
      </c>
      <c r="U264" s="25">
        <v>2</v>
      </c>
      <c r="V264" s="25" t="s">
        <v>683</v>
      </c>
      <c r="W264" s="25"/>
      <c r="X264" s="25"/>
    </row>
    <row r="265" spans="1:25" s="25" customFormat="1" ht="14.45" customHeight="1" x14ac:dyDescent="0.25">
      <c r="A265" s="28">
        <v>254</v>
      </c>
      <c r="B265" s="29">
        <v>45246</v>
      </c>
      <c r="C265" s="29">
        <v>45246</v>
      </c>
      <c r="D265" s="30" t="s">
        <v>286</v>
      </c>
      <c r="E265" s="30" t="s">
        <v>1135</v>
      </c>
      <c r="F265" s="30" t="s">
        <v>361</v>
      </c>
      <c r="G265" s="80">
        <f t="shared" si="9"/>
        <v>45336</v>
      </c>
      <c r="H265" s="15">
        <v>7143677021</v>
      </c>
      <c r="I265" s="30"/>
      <c r="J265" s="30" t="s">
        <v>1136</v>
      </c>
      <c r="K265" s="30" t="s">
        <v>879</v>
      </c>
      <c r="L265" s="30" t="s">
        <v>174</v>
      </c>
      <c r="M265" s="30" t="s">
        <v>639</v>
      </c>
      <c r="N265" s="30">
        <v>2</v>
      </c>
      <c r="O265" s="30">
        <v>184.76</v>
      </c>
      <c r="P265" s="107">
        <f t="shared" si="8"/>
        <v>369.52</v>
      </c>
      <c r="Q265" s="30"/>
      <c r="R265" s="29"/>
      <c r="S265" s="31"/>
      <c r="T265" s="29"/>
      <c r="U265" s="30"/>
      <c r="V265" s="30" t="s">
        <v>683</v>
      </c>
      <c r="W265" s="30"/>
      <c r="X265" s="30"/>
    </row>
    <row r="266" spans="1:25" s="25" customFormat="1" ht="14.45" customHeight="1" x14ac:dyDescent="0.25">
      <c r="A266" s="23">
        <v>255</v>
      </c>
      <c r="B266" s="24">
        <v>45252</v>
      </c>
      <c r="C266" s="24">
        <v>45252</v>
      </c>
      <c r="D266" s="25" t="s">
        <v>286</v>
      </c>
      <c r="E266" s="25" t="s">
        <v>1135</v>
      </c>
      <c r="F266" s="25" t="s">
        <v>361</v>
      </c>
      <c r="G266" s="79">
        <f t="shared" si="9"/>
        <v>45336</v>
      </c>
      <c r="H266" s="14">
        <v>7143677021</v>
      </c>
      <c r="J266" s="25" t="s">
        <v>1136</v>
      </c>
      <c r="K266" s="25" t="s">
        <v>879</v>
      </c>
      <c r="L266" s="25" t="s">
        <v>174</v>
      </c>
      <c r="M266" s="25" t="s">
        <v>610</v>
      </c>
      <c r="N266" s="25">
        <v>12</v>
      </c>
      <c r="O266" s="25">
        <v>176.36</v>
      </c>
      <c r="P266" s="106">
        <f t="shared" si="8"/>
        <v>2116.3200000000002</v>
      </c>
      <c r="R266" s="24">
        <v>45258</v>
      </c>
      <c r="S266" s="26" t="s">
        <v>1137</v>
      </c>
      <c r="T266" s="24">
        <v>45279</v>
      </c>
      <c r="U266" s="25">
        <v>12</v>
      </c>
      <c r="V266" s="25" t="s">
        <v>683</v>
      </c>
      <c r="Y266" s="25" t="s">
        <v>803</v>
      </c>
    </row>
    <row r="267" spans="1:25" s="30" customFormat="1" ht="14.45" customHeight="1" x14ac:dyDescent="0.25">
      <c r="A267" s="23">
        <v>256</v>
      </c>
      <c r="B267" s="24">
        <v>45257</v>
      </c>
      <c r="C267" s="24">
        <v>45257</v>
      </c>
      <c r="D267" s="25" t="s">
        <v>1138</v>
      </c>
      <c r="E267" s="25" t="s">
        <v>1139</v>
      </c>
      <c r="F267" s="25" t="s">
        <v>806</v>
      </c>
      <c r="G267" s="79">
        <f t="shared" si="9"/>
        <v>45425</v>
      </c>
      <c r="H267" s="14">
        <v>2257732209</v>
      </c>
      <c r="I267" s="25"/>
      <c r="J267" s="19" t="s">
        <v>1140</v>
      </c>
      <c r="K267" s="25" t="s">
        <v>649</v>
      </c>
      <c r="L267" s="25" t="s">
        <v>650</v>
      </c>
      <c r="M267" s="25" t="s">
        <v>610</v>
      </c>
      <c r="N267" s="25">
        <v>2</v>
      </c>
      <c r="O267" s="25">
        <v>184.76</v>
      </c>
      <c r="P267" s="106">
        <f t="shared" si="8"/>
        <v>380.60999999999996</v>
      </c>
      <c r="Q267" s="25">
        <v>11.09</v>
      </c>
      <c r="R267" s="24">
        <v>45259</v>
      </c>
      <c r="S267" s="26">
        <v>4300828319</v>
      </c>
      <c r="T267" s="24">
        <v>45280</v>
      </c>
      <c r="U267" s="25">
        <v>2</v>
      </c>
      <c r="V267" s="25" t="s">
        <v>1041</v>
      </c>
      <c r="W267" s="25"/>
      <c r="X267" s="25" t="s">
        <v>1141</v>
      </c>
    </row>
    <row r="268" spans="1:25" s="30" customFormat="1" ht="14.45" customHeight="1" x14ac:dyDescent="0.25">
      <c r="A268" s="28">
        <v>257</v>
      </c>
      <c r="B268" s="29">
        <v>45258</v>
      </c>
      <c r="C268" s="29">
        <v>45252</v>
      </c>
      <c r="D268" s="30" t="s">
        <v>95</v>
      </c>
      <c r="E268" s="30" t="s">
        <v>1142</v>
      </c>
      <c r="F268" s="30" t="s">
        <v>361</v>
      </c>
      <c r="G268" s="80">
        <f t="shared" si="9"/>
        <v>45336</v>
      </c>
      <c r="H268" s="15">
        <v>7143677021</v>
      </c>
      <c r="J268" s="30" t="s">
        <v>1143</v>
      </c>
      <c r="L268" s="30" t="s">
        <v>89</v>
      </c>
      <c r="M268" t="s">
        <v>611</v>
      </c>
      <c r="N268" s="30">
        <v>5</v>
      </c>
      <c r="O268" s="30">
        <v>200.62</v>
      </c>
      <c r="P268" s="108">
        <f t="shared" ref="P268:P299" si="10">N268*O268+Q268</f>
        <v>1003.1</v>
      </c>
      <c r="R268" s="29"/>
      <c r="S268" s="31"/>
      <c r="T268" s="29"/>
      <c r="V268" s="30" t="s">
        <v>683</v>
      </c>
    </row>
    <row r="269" spans="1:25" s="42" customFormat="1" ht="14.45" customHeight="1" x14ac:dyDescent="0.25">
      <c r="A269" s="28">
        <v>258</v>
      </c>
      <c r="B269" s="29">
        <v>45259</v>
      </c>
      <c r="C269" s="29">
        <v>45259</v>
      </c>
      <c r="D269" s="30" t="s">
        <v>95</v>
      </c>
      <c r="E269" s="30" t="s">
        <v>1142</v>
      </c>
      <c r="F269" s="30" t="s">
        <v>361</v>
      </c>
      <c r="G269" s="80">
        <f t="shared" ref="G269:G299" si="11">_xlfn.IFNA(VLOOKUP(F269,TAX,2,FALSE), "NEED FORM")</f>
        <v>45336</v>
      </c>
      <c r="H269" s="15">
        <v>7143677021</v>
      </c>
      <c r="I269" s="30"/>
      <c r="J269" s="30" t="s">
        <v>1143</v>
      </c>
      <c r="K269" s="30"/>
      <c r="L269" s="30" t="s">
        <v>89</v>
      </c>
      <c r="M269" s="144" t="s">
        <v>1144</v>
      </c>
      <c r="N269" s="30">
        <v>5</v>
      </c>
      <c r="O269" s="30">
        <v>169.02</v>
      </c>
      <c r="P269" s="108">
        <f t="shared" si="10"/>
        <v>845.1</v>
      </c>
      <c r="Q269" s="30"/>
      <c r="R269" s="29"/>
      <c r="S269" s="31"/>
      <c r="T269" s="29"/>
      <c r="U269" s="30"/>
      <c r="V269" s="30" t="s">
        <v>683</v>
      </c>
      <c r="W269" s="30"/>
      <c r="X269" s="30"/>
    </row>
    <row r="270" spans="1:25" s="30" customFormat="1" ht="14.45" customHeight="1" x14ac:dyDescent="0.25">
      <c r="A270" s="40">
        <v>259</v>
      </c>
      <c r="B270" s="41">
        <v>45265</v>
      </c>
      <c r="C270" s="41">
        <v>45265</v>
      </c>
      <c r="D270" s="42" t="s">
        <v>734</v>
      </c>
      <c r="E270" s="42" t="s">
        <v>735</v>
      </c>
      <c r="F270" s="42" t="s">
        <v>736</v>
      </c>
      <c r="G270" s="87" t="str">
        <f t="shared" si="11"/>
        <v>NEED FORM</v>
      </c>
      <c r="H270" s="17">
        <v>6042963409</v>
      </c>
      <c r="I270" s="42"/>
      <c r="J270" s="42" t="s">
        <v>737</v>
      </c>
      <c r="K270" s="42" t="s">
        <v>738</v>
      </c>
      <c r="L270" s="42" t="s">
        <v>739</v>
      </c>
      <c r="M270" s="42" t="s">
        <v>639</v>
      </c>
      <c r="N270" s="42">
        <v>2</v>
      </c>
      <c r="O270" s="42">
        <v>184.76</v>
      </c>
      <c r="P270" s="108">
        <f t="shared" si="10"/>
        <v>369.52</v>
      </c>
      <c r="Q270" s="42"/>
      <c r="R270" s="41"/>
      <c r="S270" s="43"/>
      <c r="T270" s="41"/>
      <c r="U270" s="42"/>
      <c r="V270" s="42"/>
      <c r="W270" s="42"/>
      <c r="X270" s="42"/>
    </row>
    <row r="271" spans="1:25" s="25" customFormat="1" ht="14.45" customHeight="1" x14ac:dyDescent="0.25">
      <c r="A271" s="28">
        <v>260</v>
      </c>
      <c r="B271" s="29">
        <v>45265</v>
      </c>
      <c r="C271" s="29">
        <v>45265</v>
      </c>
      <c r="D271" s="30" t="s">
        <v>695</v>
      </c>
      <c r="E271" s="30" t="s">
        <v>696</v>
      </c>
      <c r="F271" s="30" t="s">
        <v>697</v>
      </c>
      <c r="G271" s="80" t="str">
        <f t="shared" si="11"/>
        <v>NEED FORM</v>
      </c>
      <c r="H271" s="15">
        <v>6503456800</v>
      </c>
      <c r="I271" s="30"/>
      <c r="J271" s="21" t="s">
        <v>698</v>
      </c>
      <c r="K271" s="30" t="s">
        <v>366</v>
      </c>
      <c r="L271" s="30" t="s">
        <v>699</v>
      </c>
      <c r="M271" s="30" t="s">
        <v>700</v>
      </c>
      <c r="N271" s="30">
        <v>2</v>
      </c>
      <c r="O271" s="30">
        <v>184.76</v>
      </c>
      <c r="P271" s="107">
        <f t="shared" si="10"/>
        <v>369.52</v>
      </c>
      <c r="Q271" s="30"/>
      <c r="R271" s="29"/>
      <c r="S271" s="31"/>
      <c r="T271" s="29"/>
      <c r="U271" s="30"/>
      <c r="V271" s="30"/>
      <c r="W271" s="30"/>
      <c r="X271" s="30"/>
    </row>
    <row r="272" spans="1:25" s="25" customFormat="1" ht="14.45" customHeight="1" x14ac:dyDescent="0.25">
      <c r="A272" s="23">
        <v>261</v>
      </c>
      <c r="B272" s="24">
        <v>45266</v>
      </c>
      <c r="C272" s="24">
        <v>45266</v>
      </c>
      <c r="D272" s="25" t="s">
        <v>1145</v>
      </c>
      <c r="E272" s="25" t="s">
        <v>1146</v>
      </c>
      <c r="F272" s="25" t="s">
        <v>1147</v>
      </c>
      <c r="G272" s="79">
        <f t="shared" si="11"/>
        <v>45278</v>
      </c>
      <c r="H272" s="266">
        <v>3252199145</v>
      </c>
      <c r="J272" s="25" t="s">
        <v>1148</v>
      </c>
      <c r="K272" s="25" t="s">
        <v>505</v>
      </c>
      <c r="L272" s="25" t="s">
        <v>144</v>
      </c>
      <c r="M272" s="25" t="s">
        <v>611</v>
      </c>
      <c r="N272" s="25">
        <v>14</v>
      </c>
      <c r="O272" s="25">
        <v>195.96</v>
      </c>
      <c r="P272" s="106">
        <f t="shared" si="10"/>
        <v>2783.44</v>
      </c>
      <c r="Q272" s="25">
        <v>40</v>
      </c>
      <c r="R272" s="24">
        <v>45268</v>
      </c>
      <c r="S272" s="26" t="s">
        <v>1149</v>
      </c>
      <c r="T272" s="24">
        <v>45303</v>
      </c>
      <c r="U272" s="25">
        <v>14</v>
      </c>
      <c r="V272" s="25" t="s">
        <v>1150</v>
      </c>
      <c r="Y272" s="25" t="s">
        <v>925</v>
      </c>
    </row>
    <row r="273" spans="1:25" s="30" customFormat="1" ht="14.45" customHeight="1" x14ac:dyDescent="0.25">
      <c r="A273" s="23">
        <v>262</v>
      </c>
      <c r="B273" s="24">
        <v>45268</v>
      </c>
      <c r="C273" s="24">
        <v>45268</v>
      </c>
      <c r="D273" s="25" t="s">
        <v>620</v>
      </c>
      <c r="E273" s="25" t="s">
        <v>621</v>
      </c>
      <c r="F273" s="25" t="s">
        <v>622</v>
      </c>
      <c r="G273" s="79" t="str">
        <f t="shared" si="11"/>
        <v>Malaysia</v>
      </c>
      <c r="H273" s="14" t="s">
        <v>725</v>
      </c>
      <c r="I273" s="25"/>
      <c r="J273" s="117" t="s">
        <v>623</v>
      </c>
      <c r="K273" s="25" t="s">
        <v>624</v>
      </c>
      <c r="L273" s="25" t="s">
        <v>624</v>
      </c>
      <c r="M273" s="25" t="s">
        <v>610</v>
      </c>
      <c r="N273" s="25">
        <v>6</v>
      </c>
      <c r="O273" s="25">
        <v>180.65</v>
      </c>
      <c r="P273" s="106">
        <f t="shared" si="10"/>
        <v>1123.9000000000001</v>
      </c>
      <c r="Q273" s="25">
        <v>40</v>
      </c>
      <c r="R273" s="24">
        <v>45268</v>
      </c>
      <c r="S273" s="26" t="s">
        <v>1151</v>
      </c>
      <c r="T273" s="24">
        <v>45117</v>
      </c>
      <c r="U273" s="25">
        <v>6</v>
      </c>
      <c r="V273" s="25" t="s">
        <v>924</v>
      </c>
      <c r="W273" s="25"/>
      <c r="X273" s="25"/>
    </row>
    <row r="274" spans="1:25" s="30" customFormat="1" ht="14.45" customHeight="1" x14ac:dyDescent="0.25">
      <c r="A274" s="28">
        <v>263</v>
      </c>
      <c r="B274" s="29">
        <v>45268</v>
      </c>
      <c r="C274" s="29">
        <v>45268</v>
      </c>
      <c r="D274" s="30" t="s">
        <v>344</v>
      </c>
      <c r="E274" s="30" t="s">
        <v>1152</v>
      </c>
      <c r="F274" s="30" t="s">
        <v>1153</v>
      </c>
      <c r="G274" s="80" t="str">
        <f t="shared" si="11"/>
        <v>NEED FORM</v>
      </c>
      <c r="H274" s="264">
        <v>7138955936</v>
      </c>
      <c r="J274" s="21" t="s">
        <v>1154</v>
      </c>
      <c r="K274" s="30" t="s">
        <v>505</v>
      </c>
      <c r="L274" s="30" t="s">
        <v>144</v>
      </c>
      <c r="M274" s="30" t="s">
        <v>610</v>
      </c>
      <c r="N274" s="30">
        <v>12</v>
      </c>
      <c r="O274" s="30">
        <v>176.36</v>
      </c>
      <c r="P274" s="107">
        <f t="shared" si="10"/>
        <v>2116.3200000000002</v>
      </c>
      <c r="R274" s="29"/>
      <c r="S274" s="31"/>
      <c r="T274" s="29"/>
    </row>
    <row r="275" spans="1:25" s="25" customFormat="1" ht="14.45" customHeight="1" x14ac:dyDescent="0.25">
      <c r="A275" s="28">
        <v>264</v>
      </c>
      <c r="B275" s="29">
        <v>45272</v>
      </c>
      <c r="C275" s="29">
        <v>45272</v>
      </c>
      <c r="D275" s="30" t="s">
        <v>95</v>
      </c>
      <c r="E275" s="30" t="s">
        <v>347</v>
      </c>
      <c r="F275" s="30" t="s">
        <v>1024</v>
      </c>
      <c r="G275" s="80" t="str">
        <f t="shared" si="11"/>
        <v>NEED FORM</v>
      </c>
      <c r="H275" s="15">
        <v>6049242930</v>
      </c>
      <c r="I275" s="30"/>
      <c r="J275" s="30" t="s">
        <v>1025</v>
      </c>
      <c r="K275" s="30" t="s">
        <v>1026</v>
      </c>
      <c r="L275" s="30" t="s">
        <v>440</v>
      </c>
      <c r="M275" s="30" t="s">
        <v>610</v>
      </c>
      <c r="N275" s="30">
        <v>70</v>
      </c>
      <c r="O275" s="30">
        <v>164.87</v>
      </c>
      <c r="P275" s="108">
        <f t="shared" si="10"/>
        <v>11540.9</v>
      </c>
      <c r="Q275" s="30"/>
      <c r="R275" s="29">
        <v>45262</v>
      </c>
      <c r="S275" s="31"/>
      <c r="T275" s="29"/>
      <c r="U275" s="30"/>
      <c r="V275" s="30"/>
      <c r="W275" s="30"/>
      <c r="X275" s="30" t="s">
        <v>1027</v>
      </c>
    </row>
    <row r="276" spans="1:25" s="25" customFormat="1" ht="14.45" customHeight="1" x14ac:dyDescent="0.25">
      <c r="A276" s="23">
        <v>265</v>
      </c>
      <c r="B276" s="24">
        <v>45272</v>
      </c>
      <c r="C276" s="24" t="s">
        <v>1155</v>
      </c>
      <c r="D276" s="25" t="s">
        <v>99</v>
      </c>
      <c r="E276" s="25" t="s">
        <v>450</v>
      </c>
      <c r="F276" s="25" t="s">
        <v>361</v>
      </c>
      <c r="G276" s="79">
        <f t="shared" si="11"/>
        <v>45336</v>
      </c>
      <c r="H276" s="266">
        <v>9842332961</v>
      </c>
      <c r="J276" s="25" t="s">
        <v>1156</v>
      </c>
      <c r="K276" s="25" t="s">
        <v>1157</v>
      </c>
      <c r="L276" s="25" t="s">
        <v>83</v>
      </c>
      <c r="M276" s="25" t="s">
        <v>610</v>
      </c>
      <c r="N276" s="25">
        <v>70</v>
      </c>
      <c r="O276" s="25">
        <v>164.87</v>
      </c>
      <c r="P276" s="106">
        <f t="shared" si="10"/>
        <v>11540.9</v>
      </c>
      <c r="R276" s="24">
        <v>45272</v>
      </c>
      <c r="S276" s="26" t="s">
        <v>1158</v>
      </c>
      <c r="T276" s="24">
        <v>45301</v>
      </c>
      <c r="U276" s="25">
        <v>70</v>
      </c>
      <c r="V276" s="25" t="s">
        <v>1034</v>
      </c>
    </row>
    <row r="277" spans="1:25" s="25" customFormat="1" ht="14.45" customHeight="1" x14ac:dyDescent="0.25">
      <c r="A277" s="23">
        <v>266</v>
      </c>
      <c r="B277" s="24">
        <v>45278</v>
      </c>
      <c r="C277" s="24">
        <v>45278</v>
      </c>
      <c r="D277" s="25" t="s">
        <v>186</v>
      </c>
      <c r="E277" s="25" t="s">
        <v>931</v>
      </c>
      <c r="F277" s="25" t="s">
        <v>628</v>
      </c>
      <c r="G277" s="79">
        <f t="shared" si="11"/>
        <v>44562</v>
      </c>
      <c r="H277" s="14">
        <v>2485822468</v>
      </c>
      <c r="J277" s="25" t="s">
        <v>1159</v>
      </c>
      <c r="K277" s="25" t="s">
        <v>505</v>
      </c>
      <c r="L277" s="25" t="s">
        <v>144</v>
      </c>
      <c r="M277" s="25" t="s">
        <v>610</v>
      </c>
      <c r="N277" s="25">
        <v>20</v>
      </c>
      <c r="O277" s="25">
        <v>176.36</v>
      </c>
      <c r="P277" s="106">
        <f t="shared" si="10"/>
        <v>3527.2000000000003</v>
      </c>
      <c r="R277" s="24">
        <v>45279</v>
      </c>
      <c r="S277" s="26">
        <v>9486280</v>
      </c>
      <c r="T277" s="24">
        <v>44942</v>
      </c>
      <c r="U277" s="25">
        <v>20</v>
      </c>
      <c r="V277" s="25" t="s">
        <v>683</v>
      </c>
    </row>
    <row r="278" spans="1:25" s="25" customFormat="1" ht="14.45" customHeight="1" x14ac:dyDescent="0.25">
      <c r="A278" s="23">
        <v>267</v>
      </c>
      <c r="B278" s="24">
        <v>45280</v>
      </c>
      <c r="C278" s="24">
        <v>45279</v>
      </c>
      <c r="D278" s="25" t="s">
        <v>308</v>
      </c>
      <c r="E278" s="25" t="s">
        <v>167</v>
      </c>
      <c r="F278" s="25" t="s">
        <v>1160</v>
      </c>
      <c r="G278" s="79">
        <f t="shared" si="11"/>
        <v>45280</v>
      </c>
      <c r="H278" s="266">
        <v>7075906071</v>
      </c>
      <c r="J278" s="25" t="s">
        <v>1161</v>
      </c>
      <c r="K278" s="25" t="s">
        <v>280</v>
      </c>
      <c r="L278" s="25" t="s">
        <v>1162</v>
      </c>
      <c r="M278" s="25" t="s">
        <v>610</v>
      </c>
      <c r="N278" s="25">
        <v>16</v>
      </c>
      <c r="O278" s="25">
        <v>176.36</v>
      </c>
      <c r="P278" s="106">
        <f t="shared" si="10"/>
        <v>2881.76</v>
      </c>
      <c r="Q278" s="25">
        <v>60</v>
      </c>
      <c r="R278" s="24">
        <v>45646</v>
      </c>
      <c r="S278" s="26" t="s">
        <v>1163</v>
      </c>
      <c r="T278" s="24">
        <v>45308</v>
      </c>
      <c r="U278" s="25">
        <v>16</v>
      </c>
      <c r="V278" s="25" t="s">
        <v>1041</v>
      </c>
      <c r="W278" s="25" t="s">
        <v>1164</v>
      </c>
    </row>
    <row r="279" spans="1:25" s="25" customFormat="1" ht="14.45" customHeight="1" x14ac:dyDescent="0.25">
      <c r="A279" s="23">
        <v>268</v>
      </c>
      <c r="B279" s="24">
        <v>45280</v>
      </c>
      <c r="C279" s="24">
        <v>45279</v>
      </c>
      <c r="D279" s="25" t="s">
        <v>308</v>
      </c>
      <c r="E279" s="25" t="s">
        <v>167</v>
      </c>
      <c r="F279" s="25" t="s">
        <v>1160</v>
      </c>
      <c r="G279" s="79">
        <f t="shared" si="11"/>
        <v>45280</v>
      </c>
      <c r="H279" s="266">
        <v>7075906071</v>
      </c>
      <c r="J279" s="25" t="s">
        <v>1161</v>
      </c>
      <c r="K279" s="25" t="s">
        <v>280</v>
      </c>
      <c r="L279" s="25" t="s">
        <v>1162</v>
      </c>
      <c r="M279" s="25" t="s">
        <v>611</v>
      </c>
      <c r="N279" s="25">
        <v>8</v>
      </c>
      <c r="O279" s="25">
        <v>200.62</v>
      </c>
      <c r="P279" s="106">
        <f t="shared" si="10"/>
        <v>1739.56</v>
      </c>
      <c r="Q279" s="25">
        <v>134.6</v>
      </c>
      <c r="R279" s="24">
        <v>45646</v>
      </c>
      <c r="S279" s="26" t="s">
        <v>1163</v>
      </c>
      <c r="T279" s="24">
        <v>45308</v>
      </c>
      <c r="U279" s="25">
        <v>8</v>
      </c>
      <c r="V279" s="25" t="s">
        <v>1041</v>
      </c>
      <c r="W279" s="25" t="s">
        <v>1164</v>
      </c>
      <c r="Y279" s="25" t="s">
        <v>671</v>
      </c>
    </row>
    <row r="280" spans="1:25" s="25" customFormat="1" ht="15" customHeight="1" x14ac:dyDescent="0.25">
      <c r="A280" s="23">
        <v>269</v>
      </c>
      <c r="B280" s="24">
        <v>45280</v>
      </c>
      <c r="C280" s="24">
        <v>45168</v>
      </c>
      <c r="D280" s="25" t="s">
        <v>666</v>
      </c>
      <c r="E280" s="25" t="s">
        <v>484</v>
      </c>
      <c r="F280" s="122" t="s">
        <v>667</v>
      </c>
      <c r="G280" s="79">
        <f t="shared" si="11"/>
        <v>45310</v>
      </c>
      <c r="H280" s="14">
        <v>4092423351</v>
      </c>
      <c r="J280" s="19" t="s">
        <v>668</v>
      </c>
      <c r="K280" s="25" t="s">
        <v>669</v>
      </c>
      <c r="L280" s="25" t="s">
        <v>144</v>
      </c>
      <c r="M280" s="25" t="s">
        <v>610</v>
      </c>
      <c r="N280" s="25">
        <v>2</v>
      </c>
      <c r="O280" s="25">
        <v>190.72</v>
      </c>
      <c r="P280" s="106">
        <f t="shared" si="10"/>
        <v>381.46999999999997</v>
      </c>
      <c r="Q280" s="32">
        <v>0.03</v>
      </c>
      <c r="R280" s="24">
        <v>45280</v>
      </c>
      <c r="S280" s="26" t="s">
        <v>1165</v>
      </c>
      <c r="T280" s="24">
        <v>45308</v>
      </c>
      <c r="U280" s="25">
        <v>2</v>
      </c>
      <c r="V280" s="25" t="s">
        <v>803</v>
      </c>
    </row>
    <row r="281" spans="1:25" s="30" customFormat="1" ht="14.45" customHeight="1" x14ac:dyDescent="0.25">
      <c r="A281" s="23">
        <v>270</v>
      </c>
      <c r="B281" s="24">
        <v>45293</v>
      </c>
      <c r="C281" s="24">
        <v>45293</v>
      </c>
      <c r="D281" s="25" t="s">
        <v>1166</v>
      </c>
      <c r="E281" s="25"/>
      <c r="F281" s="259" t="s">
        <v>673</v>
      </c>
      <c r="G281" s="79">
        <f t="shared" si="11"/>
        <v>45294</v>
      </c>
      <c r="H281" s="14">
        <v>5753921212</v>
      </c>
      <c r="I281" s="25"/>
      <c r="J281" s="25" t="s">
        <v>1167</v>
      </c>
      <c r="K281" s="25" t="s">
        <v>912</v>
      </c>
      <c r="L281" s="25" t="s">
        <v>913</v>
      </c>
      <c r="M281" s="25" t="s">
        <v>611</v>
      </c>
      <c r="N281" s="25">
        <v>5</v>
      </c>
      <c r="O281" s="25">
        <v>200.62</v>
      </c>
      <c r="P281" s="106">
        <f t="shared" si="10"/>
        <v>1003.1</v>
      </c>
      <c r="Q281" s="25"/>
      <c r="R281" s="24">
        <v>45301</v>
      </c>
      <c r="S281" s="26">
        <v>5201201094</v>
      </c>
      <c r="T281" s="24">
        <v>45322</v>
      </c>
      <c r="U281" s="25">
        <v>5</v>
      </c>
      <c r="V281" s="25" t="s">
        <v>803</v>
      </c>
      <c r="W281" s="25"/>
      <c r="X281" s="25"/>
    </row>
    <row r="282" spans="1:25" s="25" customFormat="1" ht="14.45" customHeight="1" x14ac:dyDescent="0.25">
      <c r="A282" s="28">
        <v>271</v>
      </c>
      <c r="B282" s="29">
        <v>45293</v>
      </c>
      <c r="C282" s="29">
        <v>45293</v>
      </c>
      <c r="D282" s="30" t="s">
        <v>131</v>
      </c>
      <c r="E282" s="30" t="s">
        <v>1094</v>
      </c>
      <c r="F282" s="30" t="s">
        <v>628</v>
      </c>
      <c r="G282" s="80">
        <f t="shared" si="11"/>
        <v>44562</v>
      </c>
      <c r="H282" s="15">
        <v>3256772984</v>
      </c>
      <c r="I282" s="30">
        <v>1611068</v>
      </c>
      <c r="J282" s="30" t="s">
        <v>1159</v>
      </c>
      <c r="K282" s="30" t="s">
        <v>505</v>
      </c>
      <c r="L282" s="30" t="s">
        <v>144</v>
      </c>
      <c r="M282" s="30" t="s">
        <v>611</v>
      </c>
      <c r="N282" s="30">
        <v>20</v>
      </c>
      <c r="O282" s="30">
        <v>195.96</v>
      </c>
      <c r="P282" s="108">
        <f t="shared" si="10"/>
        <v>3919.2000000000003</v>
      </c>
      <c r="Q282" s="30"/>
      <c r="R282" s="29"/>
      <c r="S282" s="31"/>
      <c r="T282" s="29"/>
      <c r="U282" s="30"/>
      <c r="V282" s="30" t="s">
        <v>683</v>
      </c>
      <c r="W282" s="30"/>
      <c r="X282" s="30"/>
    </row>
    <row r="283" spans="1:25" s="25" customFormat="1" ht="14.45" customHeight="1" x14ac:dyDescent="0.25">
      <c r="A283" s="23">
        <v>272</v>
      </c>
      <c r="B283" s="24">
        <v>45294</v>
      </c>
      <c r="C283" s="24">
        <v>45294</v>
      </c>
      <c r="D283" s="25" t="s">
        <v>407</v>
      </c>
      <c r="E283" s="25" t="s">
        <v>1009</v>
      </c>
      <c r="F283" s="25" t="s">
        <v>631</v>
      </c>
      <c r="G283" s="79">
        <f t="shared" si="11"/>
        <v>44927</v>
      </c>
      <c r="H283" s="14">
        <v>3256582867</v>
      </c>
      <c r="J283" s="25" t="s">
        <v>1168</v>
      </c>
      <c r="K283" s="25" t="s">
        <v>1011</v>
      </c>
      <c r="L283" s="25" t="s">
        <v>144</v>
      </c>
      <c r="M283" s="25" t="s">
        <v>610</v>
      </c>
      <c r="N283" s="25">
        <v>60</v>
      </c>
      <c r="O283" s="25">
        <v>164.87</v>
      </c>
      <c r="P283" s="106">
        <f t="shared" si="10"/>
        <v>9892.2000000000007</v>
      </c>
      <c r="R283" s="24">
        <v>45294</v>
      </c>
      <c r="S283" s="26" t="s">
        <v>1169</v>
      </c>
      <c r="T283" s="24">
        <v>45315</v>
      </c>
      <c r="U283" s="25">
        <v>60</v>
      </c>
      <c r="V283" s="25" t="s">
        <v>683</v>
      </c>
    </row>
    <row r="284" spans="1:25" s="30" customFormat="1" ht="14.45" customHeight="1" x14ac:dyDescent="0.25">
      <c r="A284" s="23">
        <v>273</v>
      </c>
      <c r="B284" s="24">
        <v>45300</v>
      </c>
      <c r="C284" s="24">
        <v>45301</v>
      </c>
      <c r="D284" s="25" t="s">
        <v>152</v>
      </c>
      <c r="E284" s="25" t="s">
        <v>495</v>
      </c>
      <c r="F284" s="25" t="s">
        <v>631</v>
      </c>
      <c r="G284" s="79">
        <f t="shared" si="11"/>
        <v>44927</v>
      </c>
      <c r="H284" s="14">
        <v>3256582867</v>
      </c>
      <c r="I284" s="25"/>
      <c r="J284" s="25" t="s">
        <v>1093</v>
      </c>
      <c r="K284" s="25" t="s">
        <v>1011</v>
      </c>
      <c r="L284" s="25" t="s">
        <v>144</v>
      </c>
      <c r="M284" s="25" t="s">
        <v>611</v>
      </c>
      <c r="N284" s="25">
        <v>20</v>
      </c>
      <c r="O284" s="25">
        <v>195.96</v>
      </c>
      <c r="P284" s="106">
        <f t="shared" si="10"/>
        <v>3919.2000000000003</v>
      </c>
      <c r="Q284" s="25"/>
      <c r="R284" s="24">
        <v>45301</v>
      </c>
      <c r="S284" s="26" t="s">
        <v>1170</v>
      </c>
      <c r="T284" s="24">
        <v>45322</v>
      </c>
      <c r="U284" s="25">
        <v>20</v>
      </c>
      <c r="V284" s="25" t="s">
        <v>683</v>
      </c>
      <c r="W284" s="25"/>
      <c r="X284" s="25"/>
    </row>
    <row r="285" spans="1:25" s="30" customFormat="1" ht="16.5" customHeight="1" x14ac:dyDescent="0.25">
      <c r="A285" s="28">
        <v>274</v>
      </c>
      <c r="B285" s="29">
        <v>45300</v>
      </c>
      <c r="C285" s="29">
        <v>45301</v>
      </c>
      <c r="D285" s="30" t="s">
        <v>155</v>
      </c>
      <c r="E285" s="30" t="s">
        <v>1171</v>
      </c>
      <c r="F285" s="30" t="s">
        <v>788</v>
      </c>
      <c r="G285" s="80">
        <f t="shared" si="11"/>
        <v>45597</v>
      </c>
      <c r="H285" s="15"/>
      <c r="J285" s="118" t="s">
        <v>1017</v>
      </c>
      <c r="K285" t="s">
        <v>633</v>
      </c>
      <c r="L285" s="30" t="s">
        <v>144</v>
      </c>
      <c r="M285" s="30" t="s">
        <v>611</v>
      </c>
      <c r="N285" s="30">
        <v>2</v>
      </c>
      <c r="O285" s="30">
        <v>205.29</v>
      </c>
      <c r="P285" s="107">
        <f t="shared" si="10"/>
        <v>410.58</v>
      </c>
      <c r="R285" s="29"/>
      <c r="S285" s="31"/>
      <c r="T285" s="29"/>
      <c r="V285" s="30" t="s">
        <v>683</v>
      </c>
    </row>
    <row r="286" spans="1:25" s="25" customFormat="1" ht="14.45" customHeight="1" x14ac:dyDescent="0.3">
      <c r="A286" s="28">
        <v>275</v>
      </c>
      <c r="B286" s="29">
        <v>45302</v>
      </c>
      <c r="C286" s="29">
        <v>45302</v>
      </c>
      <c r="D286" s="30" t="s">
        <v>77</v>
      </c>
      <c r="E286" s="30" t="s">
        <v>1172</v>
      </c>
      <c r="F286" s="30" t="s">
        <v>1173</v>
      </c>
      <c r="G286" s="80" t="str">
        <f t="shared" si="11"/>
        <v>NEED FORM</v>
      </c>
      <c r="H286" s="264"/>
      <c r="I286" s="30"/>
      <c r="J286" s="21" t="s">
        <v>1174</v>
      </c>
      <c r="K286" s="261" t="s">
        <v>1175</v>
      </c>
      <c r="L286" s="30" t="s">
        <v>1176</v>
      </c>
      <c r="M286" s="30" t="s">
        <v>704</v>
      </c>
      <c r="N286" s="30">
        <v>20</v>
      </c>
      <c r="O286" s="30">
        <v>176.36</v>
      </c>
      <c r="P286" s="107">
        <f t="shared" si="10"/>
        <v>3527.2000000000003</v>
      </c>
      <c r="Q286" s="30"/>
      <c r="R286" s="29"/>
      <c r="S286" s="31"/>
      <c r="T286" s="29"/>
      <c r="U286" s="30"/>
      <c r="V286" s="30"/>
      <c r="W286" s="30"/>
      <c r="X286" s="30"/>
    </row>
    <row r="287" spans="1:25" s="25" customFormat="1" ht="14.45" customHeight="1" x14ac:dyDescent="0.25">
      <c r="A287" s="23">
        <v>276</v>
      </c>
      <c r="B287" s="24">
        <v>45302</v>
      </c>
      <c r="C287" s="24">
        <v>45302</v>
      </c>
      <c r="D287" s="122" t="s">
        <v>163</v>
      </c>
      <c r="E287" s="25" t="s">
        <v>1177</v>
      </c>
      <c r="F287" s="25" t="s">
        <v>667</v>
      </c>
      <c r="G287" s="79">
        <f t="shared" si="11"/>
        <v>45310</v>
      </c>
      <c r="H287" s="266">
        <v>4092423351</v>
      </c>
      <c r="J287" s="25" t="s">
        <v>668</v>
      </c>
      <c r="K287" s="25" t="s">
        <v>669</v>
      </c>
      <c r="L287" s="25" t="s">
        <v>144</v>
      </c>
      <c r="M287" s="25" t="s">
        <v>1178</v>
      </c>
      <c r="N287" s="25">
        <v>20</v>
      </c>
      <c r="O287" s="25">
        <v>58.45</v>
      </c>
      <c r="P287" s="106">
        <f t="shared" si="10"/>
        <v>1169</v>
      </c>
      <c r="R287" s="24">
        <v>45307</v>
      </c>
      <c r="S287" s="24" t="s">
        <v>1179</v>
      </c>
      <c r="T287" s="24">
        <v>45310</v>
      </c>
      <c r="U287" s="25">
        <v>20</v>
      </c>
      <c r="V287" s="25" t="s">
        <v>1034</v>
      </c>
      <c r="Y287" s="25" t="s">
        <v>438</v>
      </c>
    </row>
    <row r="288" spans="1:25" s="30" customFormat="1" ht="14.45" customHeight="1" x14ac:dyDescent="0.25">
      <c r="A288" s="23">
        <v>277</v>
      </c>
      <c r="B288" s="24">
        <v>45302</v>
      </c>
      <c r="C288" s="24">
        <v>45302</v>
      </c>
      <c r="D288" s="25" t="s">
        <v>1180</v>
      </c>
      <c r="E288" s="25" t="s">
        <v>1181</v>
      </c>
      <c r="F288" s="25" t="s">
        <v>615</v>
      </c>
      <c r="G288" s="79">
        <f t="shared" si="11"/>
        <v>45286</v>
      </c>
      <c r="H288" s="14">
        <v>6641270205</v>
      </c>
      <c r="I288" s="25"/>
      <c r="J288" s="122" t="s">
        <v>1130</v>
      </c>
      <c r="K288" s="25" t="s">
        <v>1182</v>
      </c>
      <c r="L288" s="25" t="s">
        <v>174</v>
      </c>
      <c r="M288" s="25" t="s">
        <v>610</v>
      </c>
      <c r="N288" s="25">
        <v>10</v>
      </c>
      <c r="O288" s="25">
        <v>176.36</v>
      </c>
      <c r="P288" s="106">
        <f t="shared" si="10"/>
        <v>2645.4</v>
      </c>
      <c r="Q288" s="25">
        <v>881.8</v>
      </c>
      <c r="R288" s="24">
        <v>45303</v>
      </c>
      <c r="S288" s="26">
        <v>3011348358</v>
      </c>
      <c r="T288" s="24">
        <v>45309</v>
      </c>
      <c r="U288" s="25">
        <v>10</v>
      </c>
      <c r="V288" s="25" t="s">
        <v>989</v>
      </c>
      <c r="W288" s="25"/>
      <c r="X288" s="25"/>
    </row>
    <row r="289" spans="1:25" s="30" customFormat="1" ht="14.45" customHeight="1" x14ac:dyDescent="0.25">
      <c r="A289" s="28">
        <v>278</v>
      </c>
      <c r="B289" s="29">
        <v>45308</v>
      </c>
      <c r="C289" s="29">
        <v>45308</v>
      </c>
      <c r="D289" s="30" t="s">
        <v>68</v>
      </c>
      <c r="E289" s="30" t="s">
        <v>1183</v>
      </c>
      <c r="F289" s="30" t="s">
        <v>361</v>
      </c>
      <c r="G289" s="80">
        <f t="shared" si="11"/>
        <v>45336</v>
      </c>
      <c r="H289" s="264" t="s">
        <v>1184</v>
      </c>
      <c r="J289" s="118" t="s">
        <v>1185</v>
      </c>
      <c r="K289" s="30" t="s">
        <v>1186</v>
      </c>
      <c r="L289" s="30" t="s">
        <v>144</v>
      </c>
      <c r="M289" s="30" t="s">
        <v>610</v>
      </c>
      <c r="N289" s="30">
        <v>2</v>
      </c>
      <c r="O289" s="30">
        <v>184.76</v>
      </c>
      <c r="P289" s="107">
        <f t="shared" si="10"/>
        <v>369.52</v>
      </c>
      <c r="R289" s="29"/>
      <c r="S289" s="31"/>
      <c r="T289" s="29"/>
      <c r="V289" s="30" t="s">
        <v>1034</v>
      </c>
    </row>
    <row r="290" spans="1:25" s="30" customFormat="1" ht="14.45" customHeight="1" x14ac:dyDescent="0.25">
      <c r="A290" s="28">
        <v>279</v>
      </c>
      <c r="B290" s="29">
        <v>45308</v>
      </c>
      <c r="C290" s="29">
        <v>45308</v>
      </c>
      <c r="D290" s="30" t="s">
        <v>77</v>
      </c>
      <c r="E290" s="30" t="s">
        <v>1187</v>
      </c>
      <c r="F290" s="30" t="s">
        <v>1188</v>
      </c>
      <c r="G290" s="80" t="str">
        <f t="shared" si="11"/>
        <v>NEED FORM</v>
      </c>
      <c r="H290" s="264"/>
      <c r="J290" s="21" t="s">
        <v>1174</v>
      </c>
      <c r="M290" s="30" t="s">
        <v>704</v>
      </c>
      <c r="N290" s="30">
        <v>20</v>
      </c>
      <c r="O290" s="30">
        <v>176.36</v>
      </c>
      <c r="P290" s="107">
        <f t="shared" si="10"/>
        <v>3527.2000000000003</v>
      </c>
      <c r="R290" s="29"/>
      <c r="S290" s="31"/>
      <c r="T290" s="29"/>
      <c r="V290" s="30" t="s">
        <v>803</v>
      </c>
      <c r="W290" s="30" t="s">
        <v>1164</v>
      </c>
    </row>
    <row r="291" spans="1:25" s="30" customFormat="1" x14ac:dyDescent="0.25">
      <c r="A291" s="28">
        <v>281</v>
      </c>
      <c r="B291" s="29">
        <v>45309</v>
      </c>
      <c r="C291" s="29">
        <v>45309</v>
      </c>
      <c r="D291" s="30" t="s">
        <v>273</v>
      </c>
      <c r="G291" s="80" t="str">
        <f t="shared" si="11"/>
        <v>NEED FORM</v>
      </c>
      <c r="H291" s="15"/>
      <c r="J291" s="118" t="s">
        <v>1189</v>
      </c>
      <c r="M291" s="30" t="s">
        <v>610</v>
      </c>
      <c r="N291" s="30">
        <v>2</v>
      </c>
      <c r="O291" s="30">
        <v>184.76</v>
      </c>
      <c r="P291" s="107">
        <f t="shared" si="10"/>
        <v>369.52</v>
      </c>
      <c r="R291" s="29"/>
      <c r="S291" s="31"/>
      <c r="T291" s="29"/>
      <c r="V291" s="30" t="s">
        <v>1047</v>
      </c>
      <c r="W291" s="30" t="s">
        <v>1164</v>
      </c>
      <c r="X291" s="30" t="s">
        <v>412</v>
      </c>
    </row>
    <row r="292" spans="1:25" s="30" customFormat="1" x14ac:dyDescent="0.25">
      <c r="A292" s="28">
        <v>282</v>
      </c>
      <c r="B292" s="29">
        <v>45307</v>
      </c>
      <c r="C292" s="29">
        <v>45309</v>
      </c>
      <c r="D292" s="30" t="s">
        <v>1190</v>
      </c>
      <c r="G292" s="80" t="str">
        <f t="shared" si="11"/>
        <v>NEED FORM</v>
      </c>
      <c r="H292" s="15"/>
      <c r="J292" s="118" t="s">
        <v>1191</v>
      </c>
      <c r="M292" s="30" t="s">
        <v>611</v>
      </c>
      <c r="N292" s="30">
        <v>15</v>
      </c>
      <c r="O292" s="30">
        <v>195.96</v>
      </c>
      <c r="P292" s="107">
        <f t="shared" si="10"/>
        <v>2939.4</v>
      </c>
      <c r="R292" s="29"/>
      <c r="S292" s="31"/>
      <c r="T292" s="29"/>
      <c r="V292" s="30" t="s">
        <v>1047</v>
      </c>
      <c r="W292" s="30" t="s">
        <v>1164</v>
      </c>
      <c r="X292" s="30" t="s">
        <v>412</v>
      </c>
    </row>
    <row r="293" spans="1:25" s="30" customFormat="1" ht="15.75" x14ac:dyDescent="0.25">
      <c r="A293" s="28">
        <v>283</v>
      </c>
      <c r="B293" s="29">
        <v>45307</v>
      </c>
      <c r="C293" s="29">
        <v>45309</v>
      </c>
      <c r="D293" s="124" t="s">
        <v>1192</v>
      </c>
      <c r="E293" s="124" t="s">
        <v>870</v>
      </c>
      <c r="G293" s="80" t="str">
        <f t="shared" si="11"/>
        <v>NEED FORM</v>
      </c>
      <c r="H293" s="15"/>
      <c r="J293" s="118" t="s">
        <v>1193</v>
      </c>
      <c r="M293" s="30" t="s">
        <v>608</v>
      </c>
      <c r="N293" s="30">
        <v>5</v>
      </c>
      <c r="O293" s="30">
        <v>180.56</v>
      </c>
      <c r="P293" s="107">
        <f t="shared" si="10"/>
        <v>902.8</v>
      </c>
      <c r="R293" s="29"/>
      <c r="S293" s="31"/>
      <c r="T293" s="29"/>
      <c r="V293" s="30" t="s">
        <v>1047</v>
      </c>
      <c r="W293" s="30" t="s">
        <v>1164</v>
      </c>
      <c r="X293" s="30" t="s">
        <v>412</v>
      </c>
    </row>
    <row r="294" spans="1:25" s="30" customFormat="1" x14ac:dyDescent="0.25">
      <c r="A294" s="28">
        <v>284</v>
      </c>
      <c r="B294" s="29">
        <v>45307</v>
      </c>
      <c r="C294" s="29">
        <v>45309</v>
      </c>
      <c r="D294" s="30" t="s">
        <v>1194</v>
      </c>
      <c r="E294" s="30" t="s">
        <v>1195</v>
      </c>
      <c r="F294" s="30" t="s">
        <v>957</v>
      </c>
      <c r="G294" s="80" t="str">
        <f t="shared" si="11"/>
        <v>Requested</v>
      </c>
      <c r="H294" s="264"/>
      <c r="J294" s="30" t="s">
        <v>1196</v>
      </c>
      <c r="M294" s="30" t="s">
        <v>1197</v>
      </c>
      <c r="N294" s="30">
        <v>5</v>
      </c>
      <c r="O294" s="30">
        <v>180.56</v>
      </c>
      <c r="P294" s="107">
        <f t="shared" si="10"/>
        <v>902.8</v>
      </c>
      <c r="R294" s="29"/>
      <c r="S294" s="31"/>
      <c r="T294" s="29"/>
    </row>
    <row r="295" spans="1:25" s="25" customFormat="1" x14ac:dyDescent="0.25">
      <c r="A295" s="23">
        <v>285</v>
      </c>
      <c r="B295" s="24">
        <v>45310</v>
      </c>
      <c r="C295" s="24">
        <v>45302</v>
      </c>
      <c r="D295" s="25" t="s">
        <v>163</v>
      </c>
      <c r="E295" s="25" t="s">
        <v>1177</v>
      </c>
      <c r="F295" s="25" t="s">
        <v>667</v>
      </c>
      <c r="G295" s="79">
        <f t="shared" si="11"/>
        <v>45310</v>
      </c>
      <c r="H295" s="266">
        <v>4092423351</v>
      </c>
      <c r="J295" s="25" t="s">
        <v>668</v>
      </c>
      <c r="K295" s="25" t="s">
        <v>669</v>
      </c>
      <c r="L295" s="25" t="s">
        <v>144</v>
      </c>
      <c r="M295" s="25" t="s">
        <v>1178</v>
      </c>
      <c r="N295" s="25">
        <v>20</v>
      </c>
      <c r="O295" s="25">
        <v>58.45</v>
      </c>
      <c r="P295" s="106">
        <f t="shared" si="10"/>
        <v>1169</v>
      </c>
      <c r="Q295" s="32"/>
      <c r="R295" s="24">
        <v>45310</v>
      </c>
      <c r="S295" s="24" t="s">
        <v>1198</v>
      </c>
      <c r="T295" s="24">
        <v>45331</v>
      </c>
      <c r="U295" s="25">
        <v>20</v>
      </c>
      <c r="V295" s="25" t="s">
        <v>803</v>
      </c>
      <c r="Y295" s="25" t="s">
        <v>671</v>
      </c>
    </row>
    <row r="296" spans="1:25" s="25" customFormat="1" x14ac:dyDescent="0.25">
      <c r="A296" s="23">
        <v>286</v>
      </c>
      <c r="B296" s="24">
        <v>45310</v>
      </c>
      <c r="C296" s="24">
        <v>45168</v>
      </c>
      <c r="D296" s="25" t="s">
        <v>666</v>
      </c>
      <c r="E296" s="25" t="s">
        <v>484</v>
      </c>
      <c r="F296" s="25" t="s">
        <v>667</v>
      </c>
      <c r="G296" s="79">
        <f t="shared" si="11"/>
        <v>45310</v>
      </c>
      <c r="H296" s="14">
        <v>4092423351</v>
      </c>
      <c r="J296" s="19" t="s">
        <v>668</v>
      </c>
      <c r="K296" s="25" t="s">
        <v>669</v>
      </c>
      <c r="L296" s="25" t="s">
        <v>144</v>
      </c>
      <c r="M296" s="25" t="s">
        <v>610</v>
      </c>
      <c r="N296" s="25">
        <v>2</v>
      </c>
      <c r="O296" s="25">
        <v>190.72</v>
      </c>
      <c r="P296" s="106">
        <f t="shared" si="10"/>
        <v>381.46999999999997</v>
      </c>
      <c r="Q296" s="32">
        <v>0.03</v>
      </c>
      <c r="R296" s="24">
        <v>45310</v>
      </c>
      <c r="S296" s="24" t="s">
        <v>1198</v>
      </c>
      <c r="T296" s="24">
        <v>45331</v>
      </c>
      <c r="U296" s="25">
        <v>2</v>
      </c>
      <c r="V296" s="25" t="s">
        <v>803</v>
      </c>
      <c r="Y296" s="25" t="s">
        <v>671</v>
      </c>
    </row>
    <row r="297" spans="1:25" s="30" customFormat="1" x14ac:dyDescent="0.25">
      <c r="A297" s="28">
        <v>286</v>
      </c>
      <c r="B297" s="29">
        <v>45320</v>
      </c>
      <c r="C297" s="29">
        <v>45320</v>
      </c>
      <c r="D297" s="30" t="s">
        <v>1199</v>
      </c>
      <c r="E297" s="30" t="s">
        <v>1200</v>
      </c>
      <c r="F297" s="30" t="s">
        <v>1201</v>
      </c>
      <c r="G297" s="80" t="str">
        <f t="shared" si="11"/>
        <v>NEED FORM</v>
      </c>
      <c r="H297" s="264">
        <v>2812282951</v>
      </c>
      <c r="J297" s="30" t="s">
        <v>1202</v>
      </c>
      <c r="M297" s="30" t="s">
        <v>723</v>
      </c>
      <c r="N297" s="30">
        <v>2</v>
      </c>
      <c r="O297" s="30">
        <v>205.29</v>
      </c>
      <c r="P297" s="107">
        <f t="shared" si="10"/>
        <v>410.58</v>
      </c>
      <c r="R297" s="29"/>
      <c r="S297" s="31"/>
      <c r="T297" s="29"/>
    </row>
    <row r="298" spans="1:25" s="30" customFormat="1" x14ac:dyDescent="0.25">
      <c r="A298" s="28">
        <v>287</v>
      </c>
      <c r="B298" s="29">
        <v>45320</v>
      </c>
      <c r="C298" s="29">
        <v>45320</v>
      </c>
      <c r="D298" s="30" t="s">
        <v>284</v>
      </c>
      <c r="E298" s="30" t="s">
        <v>267</v>
      </c>
      <c r="F298" s="30" t="s">
        <v>1203</v>
      </c>
      <c r="G298" s="80">
        <f t="shared" si="11"/>
        <v>45320</v>
      </c>
      <c r="H298" s="264">
        <v>9792664340</v>
      </c>
      <c r="J298" s="30" t="s">
        <v>1204</v>
      </c>
      <c r="K298" s="30" t="s">
        <v>1205</v>
      </c>
      <c r="L298" s="30" t="s">
        <v>144</v>
      </c>
      <c r="M298" s="30" t="s">
        <v>610</v>
      </c>
      <c r="N298" s="30">
        <v>18</v>
      </c>
      <c r="O298" s="30">
        <v>195.96</v>
      </c>
      <c r="P298" s="107">
        <f t="shared" si="10"/>
        <v>3527.28</v>
      </c>
      <c r="R298" s="29"/>
      <c r="S298" s="31"/>
      <c r="T298" s="29"/>
      <c r="V298" s="30" t="s">
        <v>61</v>
      </c>
    </row>
    <row r="299" spans="1:25" s="30" customFormat="1" x14ac:dyDescent="0.25">
      <c r="A299" s="28">
        <v>288</v>
      </c>
      <c r="B299" s="29">
        <v>45317</v>
      </c>
      <c r="C299" s="29">
        <v>45320</v>
      </c>
      <c r="D299" s="30" t="s">
        <v>279</v>
      </c>
      <c r="E299" s="30" t="s">
        <v>1206</v>
      </c>
      <c r="F299" s="30" t="s">
        <v>1207</v>
      </c>
      <c r="G299" s="80" t="str">
        <f t="shared" si="11"/>
        <v>NEED FORM</v>
      </c>
      <c r="H299" s="15">
        <v>9794912387</v>
      </c>
      <c r="J299" s="120" t="s">
        <v>1208</v>
      </c>
      <c r="M299" s="30" t="s">
        <v>610</v>
      </c>
      <c r="N299" s="30">
        <v>18</v>
      </c>
      <c r="O299" s="30">
        <v>195.96</v>
      </c>
      <c r="P299" s="107">
        <f t="shared" si="10"/>
        <v>3527.28</v>
      </c>
      <c r="R299" s="29"/>
      <c r="S299" s="31"/>
      <c r="T299" s="29"/>
      <c r="V299" s="30" t="s">
        <v>412</v>
      </c>
      <c r="W299" s="30" t="s">
        <v>1164</v>
      </c>
    </row>
    <row r="300" spans="1:25" s="25" customFormat="1" x14ac:dyDescent="0.25">
      <c r="A300" s="23">
        <v>289</v>
      </c>
      <c r="B300" s="24">
        <v>45321</v>
      </c>
      <c r="C300" s="24">
        <v>45321</v>
      </c>
      <c r="D300" s="25" t="s">
        <v>163</v>
      </c>
      <c r="E300" s="25" t="s">
        <v>1177</v>
      </c>
      <c r="F300" s="25" t="s">
        <v>667</v>
      </c>
      <c r="G300" s="79">
        <v>45310</v>
      </c>
      <c r="H300" s="266">
        <v>4092423351</v>
      </c>
      <c r="J300" s="25" t="s">
        <v>668</v>
      </c>
      <c r="K300" s="25" t="s">
        <v>669</v>
      </c>
      <c r="L300" s="25" t="s">
        <v>144</v>
      </c>
      <c r="M300" s="25" t="s">
        <v>1178</v>
      </c>
      <c r="N300" s="25">
        <v>1</v>
      </c>
      <c r="O300" s="25">
        <v>58.45</v>
      </c>
      <c r="P300" s="106">
        <f t="shared" ref="P300:P331" si="12">N300*O300+Q300</f>
        <v>58.45</v>
      </c>
      <c r="R300" s="24">
        <v>45321</v>
      </c>
      <c r="S300" s="24" t="s">
        <v>1209</v>
      </c>
      <c r="T300" s="24">
        <v>45342</v>
      </c>
      <c r="U300" s="25">
        <v>1</v>
      </c>
      <c r="V300" s="25" t="s">
        <v>803</v>
      </c>
    </row>
    <row r="301" spans="1:25" s="25" customFormat="1" x14ac:dyDescent="0.25">
      <c r="A301" s="23">
        <v>290</v>
      </c>
      <c r="B301" s="24">
        <v>45321</v>
      </c>
      <c r="C301" s="24">
        <v>45321</v>
      </c>
      <c r="D301" s="25" t="s">
        <v>163</v>
      </c>
      <c r="E301" s="25" t="s">
        <v>1177</v>
      </c>
      <c r="F301" s="25" t="s">
        <v>667</v>
      </c>
      <c r="G301" s="79">
        <v>45310</v>
      </c>
      <c r="H301" s="266">
        <v>4092423351</v>
      </c>
      <c r="J301" s="25" t="s">
        <v>668</v>
      </c>
      <c r="K301" s="25" t="s">
        <v>669</v>
      </c>
      <c r="L301" s="25" t="s">
        <v>144</v>
      </c>
      <c r="M301" s="25" t="s">
        <v>610</v>
      </c>
      <c r="N301" s="25">
        <v>2</v>
      </c>
      <c r="O301" s="25">
        <v>205.29</v>
      </c>
      <c r="P301" s="106">
        <f t="shared" si="12"/>
        <v>410.58</v>
      </c>
      <c r="Q301" s="32"/>
      <c r="R301" s="24">
        <v>45321</v>
      </c>
      <c r="S301" s="24" t="s">
        <v>1209</v>
      </c>
      <c r="T301" s="24">
        <v>45342</v>
      </c>
      <c r="U301" s="25">
        <v>2</v>
      </c>
      <c r="V301" s="25" t="s">
        <v>803</v>
      </c>
      <c r="Y301" s="25" t="s">
        <v>671</v>
      </c>
    </row>
    <row r="302" spans="1:25" s="25" customFormat="1" x14ac:dyDescent="0.25">
      <c r="A302" s="23">
        <v>291</v>
      </c>
      <c r="B302" s="24">
        <v>45322</v>
      </c>
      <c r="C302" s="24">
        <v>45322</v>
      </c>
      <c r="D302" s="25" t="s">
        <v>183</v>
      </c>
      <c r="E302" s="25" t="s">
        <v>901</v>
      </c>
      <c r="F302" s="25" t="s">
        <v>361</v>
      </c>
      <c r="G302" s="79">
        <f t="shared" ref="G302:G309" si="13">_xlfn.IFNA(VLOOKUP(F302,TAX,2,FALSE), "NEED FORM")</f>
        <v>45336</v>
      </c>
      <c r="H302" s="14">
        <v>9794912987</v>
      </c>
      <c r="J302" s="125" t="s">
        <v>1210</v>
      </c>
      <c r="K302" s="25" t="s">
        <v>1186</v>
      </c>
      <c r="L302" s="25" t="s">
        <v>144</v>
      </c>
      <c r="M302" s="25" t="s">
        <v>610</v>
      </c>
      <c r="N302" s="25">
        <v>18</v>
      </c>
      <c r="O302" s="25">
        <v>195.96</v>
      </c>
      <c r="P302" s="106">
        <f t="shared" si="12"/>
        <v>3527.28</v>
      </c>
      <c r="R302" s="24">
        <v>45323</v>
      </c>
      <c r="S302" s="126">
        <v>45324</v>
      </c>
      <c r="T302" s="24">
        <v>45345</v>
      </c>
      <c r="U302" s="25">
        <v>18</v>
      </c>
    </row>
    <row r="303" spans="1:25" s="25" customFormat="1" x14ac:dyDescent="0.25">
      <c r="A303" s="23">
        <v>291</v>
      </c>
      <c r="B303" s="24">
        <v>45322</v>
      </c>
      <c r="C303" s="24">
        <v>45322</v>
      </c>
      <c r="D303" s="25" t="s">
        <v>183</v>
      </c>
      <c r="E303" s="25" t="s">
        <v>901</v>
      </c>
      <c r="F303" s="25" t="s">
        <v>361</v>
      </c>
      <c r="G303" s="79">
        <f t="shared" si="13"/>
        <v>45336</v>
      </c>
      <c r="H303" s="14">
        <v>9794912987</v>
      </c>
      <c r="J303" s="125" t="s">
        <v>1210</v>
      </c>
      <c r="K303" s="25" t="s">
        <v>1186</v>
      </c>
      <c r="L303" s="25" t="s">
        <v>144</v>
      </c>
      <c r="M303" s="25" t="s">
        <v>611</v>
      </c>
      <c r="N303" s="25">
        <v>12</v>
      </c>
      <c r="O303" s="25">
        <v>195.96</v>
      </c>
      <c r="P303" s="106">
        <f t="shared" si="12"/>
        <v>2351.52</v>
      </c>
      <c r="R303" s="24">
        <v>45323</v>
      </c>
      <c r="S303" s="126">
        <v>45324</v>
      </c>
      <c r="T303" s="24">
        <v>45345</v>
      </c>
      <c r="U303" s="25">
        <v>12</v>
      </c>
    </row>
    <row r="304" spans="1:25" s="25" customFormat="1" x14ac:dyDescent="0.25">
      <c r="A304" s="23">
        <v>291</v>
      </c>
      <c r="B304" s="24">
        <v>45322</v>
      </c>
      <c r="C304" s="24">
        <v>45322</v>
      </c>
      <c r="D304" s="25" t="s">
        <v>183</v>
      </c>
      <c r="E304" s="25" t="s">
        <v>901</v>
      </c>
      <c r="F304" s="25" t="s">
        <v>361</v>
      </c>
      <c r="G304" s="79">
        <f t="shared" si="13"/>
        <v>45336</v>
      </c>
      <c r="H304" s="14">
        <v>9794912987</v>
      </c>
      <c r="J304" s="125" t="s">
        <v>1210</v>
      </c>
      <c r="K304" s="25" t="s">
        <v>1186</v>
      </c>
      <c r="L304" s="25" t="s">
        <v>144</v>
      </c>
      <c r="M304" s="25" t="s">
        <v>608</v>
      </c>
      <c r="N304" s="25">
        <v>7</v>
      </c>
      <c r="O304" s="25">
        <v>195.96</v>
      </c>
      <c r="P304" s="106">
        <f t="shared" si="12"/>
        <v>1371.72</v>
      </c>
      <c r="R304" s="24">
        <v>45323</v>
      </c>
      <c r="S304" s="126">
        <v>45324</v>
      </c>
      <c r="T304" s="24">
        <v>45345</v>
      </c>
      <c r="U304" s="25">
        <v>7</v>
      </c>
    </row>
    <row r="305" spans="1:25" s="25" customFormat="1" x14ac:dyDescent="0.25">
      <c r="A305" s="23">
        <v>291</v>
      </c>
      <c r="B305" s="24">
        <v>45322</v>
      </c>
      <c r="C305" s="24">
        <v>45322</v>
      </c>
      <c r="D305" s="25" t="s">
        <v>183</v>
      </c>
      <c r="E305" s="25" t="s">
        <v>901</v>
      </c>
      <c r="F305" s="25" t="s">
        <v>361</v>
      </c>
      <c r="G305" s="79">
        <f t="shared" si="13"/>
        <v>45336</v>
      </c>
      <c r="H305" s="14">
        <v>9794912987</v>
      </c>
      <c r="J305" s="125" t="s">
        <v>1210</v>
      </c>
      <c r="K305" s="25" t="s">
        <v>1186</v>
      </c>
      <c r="L305" s="25" t="s">
        <v>144</v>
      </c>
      <c r="M305" s="25" t="s">
        <v>639</v>
      </c>
      <c r="N305" s="25">
        <v>8</v>
      </c>
      <c r="O305" s="25">
        <v>195.96</v>
      </c>
      <c r="P305" s="106">
        <f t="shared" si="12"/>
        <v>1567.68</v>
      </c>
      <c r="R305" s="24">
        <v>45323</v>
      </c>
      <c r="S305" s="126">
        <v>45324</v>
      </c>
      <c r="T305" s="24">
        <v>45345</v>
      </c>
      <c r="U305" s="25">
        <v>8</v>
      </c>
    </row>
    <row r="306" spans="1:25" s="25" customFormat="1" x14ac:dyDescent="0.25">
      <c r="A306" s="23">
        <v>292</v>
      </c>
      <c r="B306" s="24">
        <v>45322</v>
      </c>
      <c r="C306" s="24">
        <v>45322</v>
      </c>
      <c r="D306" s="25" t="s">
        <v>183</v>
      </c>
      <c r="E306" s="25" t="s">
        <v>901</v>
      </c>
      <c r="F306" s="25" t="s">
        <v>361</v>
      </c>
      <c r="G306" s="79">
        <f t="shared" si="13"/>
        <v>45336</v>
      </c>
      <c r="H306" s="14">
        <v>9794912987</v>
      </c>
      <c r="J306" s="125" t="s">
        <v>1210</v>
      </c>
      <c r="K306" s="25" t="s">
        <v>1186</v>
      </c>
      <c r="L306" s="25" t="s">
        <v>144</v>
      </c>
      <c r="M306" s="25" t="s">
        <v>610</v>
      </c>
      <c r="N306" s="25">
        <v>12</v>
      </c>
      <c r="O306" s="25">
        <v>195.96</v>
      </c>
      <c r="P306" s="106">
        <f t="shared" si="12"/>
        <v>2351.52</v>
      </c>
      <c r="R306" s="24">
        <v>45323</v>
      </c>
      <c r="S306" s="24" t="s">
        <v>1211</v>
      </c>
      <c r="T306" s="24">
        <v>45345</v>
      </c>
      <c r="U306" s="25">
        <v>12</v>
      </c>
    </row>
    <row r="307" spans="1:25" s="25" customFormat="1" x14ac:dyDescent="0.25">
      <c r="A307" s="23">
        <v>292</v>
      </c>
      <c r="B307" s="24">
        <v>45322</v>
      </c>
      <c r="C307" s="24">
        <v>45322</v>
      </c>
      <c r="D307" s="25" t="s">
        <v>183</v>
      </c>
      <c r="E307" s="25" t="s">
        <v>901</v>
      </c>
      <c r="F307" s="25" t="s">
        <v>361</v>
      </c>
      <c r="G307" s="79">
        <f t="shared" si="13"/>
        <v>45336</v>
      </c>
      <c r="H307" s="14">
        <v>9794912987</v>
      </c>
      <c r="J307" s="125" t="s">
        <v>1210</v>
      </c>
      <c r="K307" s="25" t="s">
        <v>1186</v>
      </c>
      <c r="L307" s="25" t="s">
        <v>144</v>
      </c>
      <c r="M307" s="25" t="s">
        <v>611</v>
      </c>
      <c r="N307" s="25">
        <v>12</v>
      </c>
      <c r="O307" s="25">
        <v>195.96</v>
      </c>
      <c r="P307" s="106">
        <f t="shared" si="12"/>
        <v>2351.52</v>
      </c>
      <c r="R307" s="24">
        <v>45323</v>
      </c>
      <c r="S307" s="24" t="s">
        <v>1211</v>
      </c>
      <c r="T307" s="24">
        <v>45345</v>
      </c>
      <c r="U307" s="25">
        <v>12</v>
      </c>
    </row>
    <row r="308" spans="1:25" s="25" customFormat="1" x14ac:dyDescent="0.25">
      <c r="A308" s="23">
        <v>293</v>
      </c>
      <c r="B308" s="24">
        <v>45322</v>
      </c>
      <c r="C308" s="24">
        <v>45322</v>
      </c>
      <c r="D308" s="25" t="s">
        <v>1212</v>
      </c>
      <c r="E308" s="25" t="s">
        <v>1213</v>
      </c>
      <c r="F308" s="25" t="s">
        <v>836</v>
      </c>
      <c r="G308" s="79">
        <f t="shared" si="13"/>
        <v>45324</v>
      </c>
      <c r="H308" s="266">
        <v>3342775030</v>
      </c>
      <c r="J308" s="25" t="s">
        <v>1214</v>
      </c>
      <c r="K308" s="25" t="s">
        <v>425</v>
      </c>
      <c r="L308" s="25" t="s">
        <v>108</v>
      </c>
      <c r="M308" s="25" t="s">
        <v>610</v>
      </c>
      <c r="N308" s="25">
        <v>2</v>
      </c>
      <c r="O308" s="25">
        <v>205.29</v>
      </c>
      <c r="P308" s="106">
        <f t="shared" si="12"/>
        <v>410.58</v>
      </c>
      <c r="R308" s="24">
        <v>45324</v>
      </c>
      <c r="S308" s="26" t="s">
        <v>1215</v>
      </c>
      <c r="T308" s="24">
        <v>45348</v>
      </c>
      <c r="U308" s="25">
        <v>2</v>
      </c>
      <c r="V308" s="25" t="s">
        <v>803</v>
      </c>
    </row>
    <row r="309" spans="1:25" s="25" customFormat="1" x14ac:dyDescent="0.25">
      <c r="A309" s="23">
        <v>294</v>
      </c>
      <c r="B309" s="24">
        <v>45324</v>
      </c>
      <c r="C309" s="24">
        <v>45324</v>
      </c>
      <c r="D309" s="122" t="s">
        <v>1180</v>
      </c>
      <c r="E309" s="25" t="s">
        <v>1181</v>
      </c>
      <c r="F309" s="25" t="s">
        <v>615</v>
      </c>
      <c r="G309" s="79">
        <f t="shared" si="13"/>
        <v>45286</v>
      </c>
      <c r="H309" s="14">
        <v>6641270205</v>
      </c>
      <c r="J309" s="25" t="s">
        <v>1130</v>
      </c>
      <c r="K309" s="25" t="s">
        <v>1182</v>
      </c>
      <c r="L309" s="25" t="s">
        <v>174</v>
      </c>
      <c r="M309" s="25" t="s">
        <v>610</v>
      </c>
      <c r="N309" s="25">
        <v>2</v>
      </c>
      <c r="O309" s="25">
        <v>205.29</v>
      </c>
      <c r="P309" s="106">
        <f t="shared" si="12"/>
        <v>615.87</v>
      </c>
      <c r="Q309" s="25">
        <v>205.29</v>
      </c>
      <c r="R309" s="24">
        <v>45328</v>
      </c>
      <c r="S309" s="26">
        <v>3011379912</v>
      </c>
      <c r="T309" s="24">
        <v>45329</v>
      </c>
      <c r="U309" s="25">
        <v>2</v>
      </c>
      <c r="V309" s="25" t="s">
        <v>989</v>
      </c>
    </row>
    <row r="310" spans="1:25" s="30" customFormat="1" x14ac:dyDescent="0.25">
      <c r="A310" s="28">
        <v>295</v>
      </c>
      <c r="B310" s="29">
        <v>45323</v>
      </c>
      <c r="C310" s="29">
        <v>45327</v>
      </c>
      <c r="D310" s="30" t="s">
        <v>163</v>
      </c>
      <c r="E310" s="30" t="s">
        <v>291</v>
      </c>
      <c r="F310" s="30" t="s">
        <v>667</v>
      </c>
      <c r="G310" s="80">
        <v>45310</v>
      </c>
      <c r="H310" s="264">
        <v>4092423351</v>
      </c>
      <c r="J310" s="30" t="s">
        <v>668</v>
      </c>
      <c r="K310" s="30" t="s">
        <v>669</v>
      </c>
      <c r="L310" s="30" t="s">
        <v>144</v>
      </c>
      <c r="M310" s="30" t="s">
        <v>619</v>
      </c>
      <c r="N310" s="30">
        <v>9</v>
      </c>
      <c r="O310" s="30">
        <v>134.02000000000001</v>
      </c>
      <c r="P310" s="108">
        <f t="shared" si="12"/>
        <v>1206.18</v>
      </c>
      <c r="Q310" s="46"/>
      <c r="R310" s="29"/>
      <c r="S310" s="29"/>
      <c r="T310" s="29"/>
      <c r="U310" s="30">
        <v>9</v>
      </c>
      <c r="V310" s="30" t="s">
        <v>803</v>
      </c>
      <c r="Y310" s="30" t="s">
        <v>671</v>
      </c>
    </row>
    <row r="311" spans="1:25" s="30" customFormat="1" x14ac:dyDescent="0.25">
      <c r="A311" s="28">
        <v>296</v>
      </c>
      <c r="B311" s="29">
        <v>45316</v>
      </c>
      <c r="C311" s="29">
        <v>45315</v>
      </c>
      <c r="D311" s="30" t="s">
        <v>222</v>
      </c>
      <c r="E311" s="30" t="s">
        <v>1216</v>
      </c>
      <c r="F311" s="30" t="s">
        <v>1217</v>
      </c>
      <c r="G311" s="80" t="str">
        <f t="shared" ref="G311:G342" si="14">_xlfn.IFNA(VLOOKUP(F311,TAX,2,FALSE), "NEED FORM")</f>
        <v>NEED FORM</v>
      </c>
      <c r="H311" s="264"/>
      <c r="J311" s="30" t="s">
        <v>1218</v>
      </c>
      <c r="M311" s="30" t="s">
        <v>704</v>
      </c>
      <c r="N311" s="30">
        <v>12</v>
      </c>
      <c r="O311" s="30">
        <v>195.96</v>
      </c>
      <c r="P311" s="108">
        <f t="shared" si="12"/>
        <v>2351.52</v>
      </c>
      <c r="R311" s="29"/>
      <c r="S311" s="31"/>
      <c r="T311" s="29"/>
      <c r="W311" s="30" t="s">
        <v>1164</v>
      </c>
    </row>
    <row r="312" spans="1:25" s="25" customFormat="1" x14ac:dyDescent="0.25">
      <c r="A312" s="23">
        <v>297</v>
      </c>
      <c r="B312" s="24">
        <v>45316</v>
      </c>
      <c r="C312" s="24">
        <v>45316</v>
      </c>
      <c r="D312" s="25" t="s">
        <v>163</v>
      </c>
      <c r="E312" s="25" t="s">
        <v>1177</v>
      </c>
      <c r="F312" s="25" t="s">
        <v>667</v>
      </c>
      <c r="G312" s="79">
        <f t="shared" si="14"/>
        <v>45310</v>
      </c>
      <c r="H312" s="266">
        <v>4092423351</v>
      </c>
      <c r="J312" s="19" t="s">
        <v>668</v>
      </c>
      <c r="K312" s="25" t="s">
        <v>669</v>
      </c>
      <c r="L312" s="25" t="s">
        <v>144</v>
      </c>
      <c r="M312" s="25" t="s">
        <v>610</v>
      </c>
      <c r="N312" s="25">
        <v>1</v>
      </c>
      <c r="O312" s="25">
        <v>190.72</v>
      </c>
      <c r="P312" s="106">
        <f t="shared" si="12"/>
        <v>190.72</v>
      </c>
      <c r="R312" s="24">
        <v>45316</v>
      </c>
      <c r="S312" s="26" t="s">
        <v>1219</v>
      </c>
      <c r="T312" s="24">
        <v>45337</v>
      </c>
      <c r="U312" s="25">
        <v>1</v>
      </c>
      <c r="V312" s="25" t="s">
        <v>803</v>
      </c>
    </row>
    <row r="313" spans="1:25" s="25" customFormat="1" x14ac:dyDescent="0.25">
      <c r="A313" s="23">
        <v>298</v>
      </c>
      <c r="B313" s="24">
        <v>45316</v>
      </c>
      <c r="C313" s="24">
        <v>45316</v>
      </c>
      <c r="D313" s="25" t="s">
        <v>163</v>
      </c>
      <c r="E313" s="25" t="s">
        <v>1177</v>
      </c>
      <c r="F313" s="25" t="s">
        <v>667</v>
      </c>
      <c r="G313" s="79">
        <f t="shared" si="14"/>
        <v>45310</v>
      </c>
      <c r="H313" s="266">
        <v>4092423351</v>
      </c>
      <c r="J313" s="19" t="s">
        <v>668</v>
      </c>
      <c r="K313" s="25" t="s">
        <v>669</v>
      </c>
      <c r="L313" s="25" t="s">
        <v>144</v>
      </c>
      <c r="M313" s="25" t="s">
        <v>1178</v>
      </c>
      <c r="N313" s="25">
        <v>20</v>
      </c>
      <c r="O313" s="25">
        <v>58.45</v>
      </c>
      <c r="P313" s="106">
        <f t="shared" si="12"/>
        <v>1169</v>
      </c>
      <c r="R313" s="24">
        <v>45316</v>
      </c>
      <c r="S313" s="26" t="s">
        <v>1219</v>
      </c>
      <c r="T313" s="24">
        <v>45337</v>
      </c>
      <c r="U313" s="25">
        <v>1</v>
      </c>
      <c r="V313" s="25" t="s">
        <v>803</v>
      </c>
    </row>
    <row r="314" spans="1:25" s="25" customFormat="1" x14ac:dyDescent="0.25">
      <c r="A314" s="23">
        <v>299</v>
      </c>
      <c r="B314" s="24">
        <v>45316</v>
      </c>
      <c r="C314" s="24">
        <v>45316</v>
      </c>
      <c r="D314" s="25" t="s">
        <v>163</v>
      </c>
      <c r="E314" s="25" t="s">
        <v>1177</v>
      </c>
      <c r="F314" s="25" t="s">
        <v>667</v>
      </c>
      <c r="G314" s="79">
        <f t="shared" si="14"/>
        <v>45310</v>
      </c>
      <c r="H314" s="266">
        <v>4092423351</v>
      </c>
      <c r="J314" s="19" t="s">
        <v>668</v>
      </c>
      <c r="K314" s="25" t="s">
        <v>669</v>
      </c>
      <c r="L314" s="25" t="s">
        <v>144</v>
      </c>
      <c r="M314" s="25" t="s">
        <v>610</v>
      </c>
      <c r="N314" s="25">
        <v>1</v>
      </c>
      <c r="O314" s="25">
        <v>190.72</v>
      </c>
      <c r="P314" s="106">
        <f t="shared" si="12"/>
        <v>190.72</v>
      </c>
      <c r="R314" s="24">
        <v>45316</v>
      </c>
      <c r="S314" s="26" t="s">
        <v>1219</v>
      </c>
      <c r="T314" s="24">
        <v>45337</v>
      </c>
      <c r="U314" s="25">
        <v>1</v>
      </c>
      <c r="V314" s="25" t="s">
        <v>803</v>
      </c>
    </row>
    <row r="315" spans="1:25" s="25" customFormat="1" x14ac:dyDescent="0.25">
      <c r="A315" s="23">
        <v>300</v>
      </c>
      <c r="B315" s="24">
        <v>45316</v>
      </c>
      <c r="C315" s="24">
        <v>45316</v>
      </c>
      <c r="D315" s="25" t="s">
        <v>286</v>
      </c>
      <c r="E315" s="25" t="s">
        <v>1135</v>
      </c>
      <c r="F315" s="25" t="s">
        <v>361</v>
      </c>
      <c r="G315" s="79">
        <f t="shared" si="14"/>
        <v>45336</v>
      </c>
      <c r="H315" s="266">
        <v>9198314656</v>
      </c>
      <c r="J315" s="25" t="s">
        <v>1220</v>
      </c>
      <c r="K315" s="25" t="s">
        <v>141</v>
      </c>
      <c r="L315" s="25" t="s">
        <v>58</v>
      </c>
      <c r="M315" s="25" t="s">
        <v>610</v>
      </c>
      <c r="N315" s="25">
        <v>2</v>
      </c>
      <c r="O315" s="25">
        <v>164.87</v>
      </c>
      <c r="P315" s="106">
        <f t="shared" si="12"/>
        <v>329.74</v>
      </c>
      <c r="R315" s="24">
        <v>45316</v>
      </c>
      <c r="S315" s="26" t="s">
        <v>1221</v>
      </c>
      <c r="T315" s="24">
        <v>45337</v>
      </c>
      <c r="U315" s="25">
        <v>2</v>
      </c>
      <c r="V315" s="25" t="s">
        <v>683</v>
      </c>
    </row>
    <row r="316" spans="1:25" s="25" customFormat="1" x14ac:dyDescent="0.25">
      <c r="A316" s="23">
        <v>301</v>
      </c>
      <c r="B316" s="24">
        <v>45316</v>
      </c>
      <c r="C316" s="24">
        <v>45316</v>
      </c>
      <c r="D316" s="25" t="s">
        <v>286</v>
      </c>
      <c r="E316" s="25" t="s">
        <v>1135</v>
      </c>
      <c r="F316" s="25" t="s">
        <v>361</v>
      </c>
      <c r="G316" s="79">
        <f t="shared" si="14"/>
        <v>45336</v>
      </c>
      <c r="H316" s="266">
        <v>9198314656</v>
      </c>
      <c r="J316" s="25" t="s">
        <v>1220</v>
      </c>
      <c r="K316" s="25" t="s">
        <v>141</v>
      </c>
      <c r="L316" s="25" t="s">
        <v>58</v>
      </c>
      <c r="M316" s="25" t="s">
        <v>610</v>
      </c>
      <c r="N316" s="25">
        <v>74</v>
      </c>
      <c r="O316" s="25">
        <v>164.87</v>
      </c>
      <c r="P316" s="106">
        <f t="shared" si="12"/>
        <v>12200.380000000001</v>
      </c>
      <c r="R316" s="24">
        <v>45316</v>
      </c>
      <c r="S316" s="26" t="s">
        <v>1222</v>
      </c>
      <c r="T316" s="24">
        <v>45337</v>
      </c>
      <c r="U316" s="25">
        <v>74</v>
      </c>
      <c r="V316" s="25" t="s">
        <v>683</v>
      </c>
    </row>
    <row r="317" spans="1:25" s="25" customFormat="1" x14ac:dyDescent="0.25">
      <c r="A317" s="23">
        <v>302</v>
      </c>
      <c r="B317" s="24">
        <v>45330</v>
      </c>
      <c r="C317" s="24">
        <v>45350</v>
      </c>
      <c r="D317" s="25" t="s">
        <v>183</v>
      </c>
      <c r="E317" s="25" t="s">
        <v>901</v>
      </c>
      <c r="F317" s="25" t="s">
        <v>361</v>
      </c>
      <c r="G317" s="79">
        <f t="shared" si="14"/>
        <v>45336</v>
      </c>
      <c r="H317" s="14">
        <v>9794912987</v>
      </c>
      <c r="J317" s="125" t="s">
        <v>1210</v>
      </c>
      <c r="K317" s="25" t="s">
        <v>1186</v>
      </c>
      <c r="L317" s="25" t="s">
        <v>144</v>
      </c>
      <c r="M317" s="25" t="s">
        <v>610</v>
      </c>
      <c r="N317" s="25">
        <v>2</v>
      </c>
      <c r="O317" s="25">
        <v>184.76</v>
      </c>
      <c r="P317" s="106">
        <f t="shared" si="12"/>
        <v>369.52</v>
      </c>
      <c r="R317" s="24">
        <v>45330</v>
      </c>
      <c r="S317" s="24" t="s">
        <v>1223</v>
      </c>
      <c r="T317" s="24">
        <v>45351</v>
      </c>
      <c r="U317" s="25">
        <v>2</v>
      </c>
    </row>
    <row r="318" spans="1:25" s="30" customFormat="1" x14ac:dyDescent="0.25">
      <c r="A318" s="28">
        <v>303</v>
      </c>
      <c r="B318" s="29">
        <v>45330</v>
      </c>
      <c r="C318" s="29">
        <v>45330</v>
      </c>
      <c r="D318" s="30" t="s">
        <v>1224</v>
      </c>
      <c r="F318" s="30" t="s">
        <v>1225</v>
      </c>
      <c r="G318" s="80" t="str">
        <f t="shared" si="14"/>
        <v>NEED FORM</v>
      </c>
      <c r="H318" s="264">
        <v>6275130019</v>
      </c>
      <c r="J318" s="30" t="s">
        <v>1226</v>
      </c>
      <c r="K318" s="30" t="s">
        <v>1227</v>
      </c>
      <c r="L318" s="30" t="s">
        <v>1228</v>
      </c>
      <c r="M318" s="30" t="s">
        <v>625</v>
      </c>
      <c r="N318" s="30">
        <v>2</v>
      </c>
      <c r="O318" s="30">
        <v>205.29</v>
      </c>
      <c r="P318" s="107">
        <f t="shared" si="12"/>
        <v>425.58</v>
      </c>
      <c r="Q318" s="30">
        <v>15</v>
      </c>
      <c r="R318" s="29"/>
      <c r="S318" s="31"/>
      <c r="T318" s="29"/>
      <c r="V318" s="30" t="s">
        <v>803</v>
      </c>
    </row>
    <row r="319" spans="1:25" s="25" customFormat="1" x14ac:dyDescent="0.25">
      <c r="A319" s="23">
        <v>304</v>
      </c>
      <c r="B319" s="24">
        <v>45331</v>
      </c>
      <c r="C319" s="24">
        <v>45279</v>
      </c>
      <c r="D319" s="25" t="s">
        <v>308</v>
      </c>
      <c r="E319" s="25" t="s">
        <v>167</v>
      </c>
      <c r="F319" s="25" t="s">
        <v>1160</v>
      </c>
      <c r="G319" s="79">
        <f t="shared" si="14"/>
        <v>45280</v>
      </c>
      <c r="H319" s="266">
        <v>7075906071</v>
      </c>
      <c r="J319" s="25" t="s">
        <v>1161</v>
      </c>
      <c r="K319" s="25" t="s">
        <v>280</v>
      </c>
      <c r="L319" s="25" t="s">
        <v>1162</v>
      </c>
      <c r="M319" s="25" t="s">
        <v>610</v>
      </c>
      <c r="N319" s="25">
        <v>8</v>
      </c>
      <c r="O319" s="25">
        <v>200.62</v>
      </c>
      <c r="P319" s="106">
        <f t="shared" si="12"/>
        <v>1714.9</v>
      </c>
      <c r="Q319" s="25">
        <f>60+49.94</f>
        <v>109.94</v>
      </c>
      <c r="R319" s="24">
        <v>45334</v>
      </c>
      <c r="S319" s="26" t="s">
        <v>1229</v>
      </c>
      <c r="T319" s="24">
        <v>45355</v>
      </c>
      <c r="U319" s="25">
        <v>8</v>
      </c>
      <c r="V319" s="25" t="s">
        <v>1041</v>
      </c>
      <c r="W319" s="25" t="s">
        <v>1164</v>
      </c>
    </row>
    <row r="320" spans="1:25" s="25" customFormat="1" x14ac:dyDescent="0.25">
      <c r="A320" s="23">
        <v>305</v>
      </c>
      <c r="B320" s="24">
        <v>45335</v>
      </c>
      <c r="C320" s="24">
        <v>45335</v>
      </c>
      <c r="D320" s="25" t="s">
        <v>119</v>
      </c>
      <c r="E320" s="25" t="s">
        <v>1230</v>
      </c>
      <c r="F320" s="25" t="s">
        <v>667</v>
      </c>
      <c r="G320" s="79">
        <f t="shared" si="14"/>
        <v>45310</v>
      </c>
      <c r="H320" s="266">
        <v>4092423351</v>
      </c>
      <c r="J320" s="125" t="s">
        <v>1231</v>
      </c>
      <c r="K320" s="25" t="s">
        <v>669</v>
      </c>
      <c r="L320" s="25" t="s">
        <v>144</v>
      </c>
      <c r="M320" s="25" t="s">
        <v>610</v>
      </c>
      <c r="N320" s="25">
        <v>6</v>
      </c>
      <c r="O320" s="25">
        <v>205.29</v>
      </c>
      <c r="P320" s="106">
        <f t="shared" si="12"/>
        <v>1231.74</v>
      </c>
      <c r="R320" s="24">
        <v>45373</v>
      </c>
      <c r="S320" s="26" t="s">
        <v>1232</v>
      </c>
      <c r="T320" s="24">
        <v>45397</v>
      </c>
      <c r="U320" s="25">
        <v>6</v>
      </c>
      <c r="V320" s="25" t="s">
        <v>1034</v>
      </c>
      <c r="W320" s="25" t="s">
        <v>1164</v>
      </c>
    </row>
    <row r="321" spans="1:25" s="25" customFormat="1" x14ac:dyDescent="0.25">
      <c r="A321" s="23">
        <v>306</v>
      </c>
      <c r="B321" s="24">
        <v>45335</v>
      </c>
      <c r="C321" s="24">
        <v>45335</v>
      </c>
      <c r="D321" s="25" t="s">
        <v>119</v>
      </c>
      <c r="E321" s="25" t="s">
        <v>1230</v>
      </c>
      <c r="F321" s="25" t="s">
        <v>667</v>
      </c>
      <c r="G321" s="79">
        <f t="shared" si="14"/>
        <v>45310</v>
      </c>
      <c r="H321" s="266">
        <v>4092423351</v>
      </c>
      <c r="J321" s="125" t="s">
        <v>1231</v>
      </c>
      <c r="K321" s="25" t="s">
        <v>669</v>
      </c>
      <c r="L321" s="25" t="s">
        <v>144</v>
      </c>
      <c r="M321" s="25" t="s">
        <v>611</v>
      </c>
      <c r="N321" s="25">
        <v>6</v>
      </c>
      <c r="O321" s="25">
        <v>205.29</v>
      </c>
      <c r="P321" s="106">
        <f t="shared" si="12"/>
        <v>1231.74</v>
      </c>
      <c r="R321" s="24">
        <v>45373</v>
      </c>
      <c r="S321" s="26" t="s">
        <v>1232</v>
      </c>
      <c r="T321" s="24">
        <v>45397</v>
      </c>
      <c r="U321" s="25">
        <v>6</v>
      </c>
      <c r="V321" s="25" t="s">
        <v>1034</v>
      </c>
      <c r="W321" s="25" t="s">
        <v>1164</v>
      </c>
    </row>
    <row r="322" spans="1:25" s="30" customFormat="1" x14ac:dyDescent="0.25">
      <c r="A322" s="28">
        <v>307</v>
      </c>
      <c r="B322" s="29">
        <v>45335</v>
      </c>
      <c r="C322" s="29">
        <v>45335</v>
      </c>
      <c r="D322" s="30" t="s">
        <v>1233</v>
      </c>
      <c r="E322" s="30" t="s">
        <v>267</v>
      </c>
      <c r="F322" s="30" t="s">
        <v>361</v>
      </c>
      <c r="G322" s="80">
        <f t="shared" si="14"/>
        <v>45336</v>
      </c>
      <c r="H322" s="264">
        <v>6576604848</v>
      </c>
      <c r="J322" s="30" t="s">
        <v>1220</v>
      </c>
      <c r="K322" s="30" t="s">
        <v>879</v>
      </c>
      <c r="L322" s="30" t="s">
        <v>174</v>
      </c>
      <c r="M322" s="30" t="s">
        <v>610</v>
      </c>
      <c r="N322" s="30">
        <v>4</v>
      </c>
      <c r="O322" s="30">
        <v>205.29</v>
      </c>
      <c r="P322" s="108">
        <f t="shared" si="12"/>
        <v>821.16</v>
      </c>
      <c r="R322" s="29"/>
      <c r="S322" s="31"/>
      <c r="T322" s="29"/>
      <c r="V322" s="30" t="s">
        <v>683</v>
      </c>
    </row>
    <row r="323" spans="1:25" s="25" customFormat="1" x14ac:dyDescent="0.25">
      <c r="A323" s="23">
        <v>308</v>
      </c>
      <c r="B323" s="24">
        <v>45335</v>
      </c>
      <c r="C323" s="24">
        <v>45336</v>
      </c>
      <c r="D323" s="25" t="s">
        <v>890</v>
      </c>
      <c r="E323" s="25" t="s">
        <v>891</v>
      </c>
      <c r="F323" s="25" t="s">
        <v>628</v>
      </c>
      <c r="G323" s="79">
        <f t="shared" si="14"/>
        <v>44562</v>
      </c>
      <c r="H323" s="14">
        <v>4323682207</v>
      </c>
      <c r="J323" s="19" t="s">
        <v>892</v>
      </c>
      <c r="K323" s="25" t="s">
        <v>505</v>
      </c>
      <c r="L323" s="25" t="s">
        <v>144</v>
      </c>
      <c r="M323" s="25" t="s">
        <v>610</v>
      </c>
      <c r="N323" s="25">
        <v>18</v>
      </c>
      <c r="O323" s="25">
        <v>195.96</v>
      </c>
      <c r="P323" s="106">
        <f t="shared" si="12"/>
        <v>3527.28</v>
      </c>
      <c r="Q323" s="32"/>
      <c r="R323" s="24">
        <v>45336</v>
      </c>
      <c r="S323" s="26">
        <v>9552924</v>
      </c>
      <c r="T323" s="24">
        <v>45357</v>
      </c>
      <c r="U323" s="25">
        <v>18</v>
      </c>
      <c r="V323" s="25" t="s">
        <v>896</v>
      </c>
    </row>
    <row r="324" spans="1:25" s="25" customFormat="1" x14ac:dyDescent="0.25">
      <c r="A324" s="23">
        <v>309</v>
      </c>
      <c r="B324" s="24">
        <v>45336</v>
      </c>
      <c r="C324" s="24">
        <v>45335</v>
      </c>
      <c r="D324" s="25" t="s">
        <v>1233</v>
      </c>
      <c r="E324" s="25" t="s">
        <v>267</v>
      </c>
      <c r="F324" s="25" t="s">
        <v>361</v>
      </c>
      <c r="G324" s="79">
        <f t="shared" si="14"/>
        <v>45336</v>
      </c>
      <c r="H324" s="266">
        <v>6576604848</v>
      </c>
      <c r="J324" s="25" t="s">
        <v>1220</v>
      </c>
      <c r="K324" s="25" t="s">
        <v>879</v>
      </c>
      <c r="L324" s="25" t="s">
        <v>174</v>
      </c>
      <c r="M324" s="25" t="s">
        <v>610</v>
      </c>
      <c r="N324" s="25">
        <v>4</v>
      </c>
      <c r="O324" s="25">
        <v>205.29</v>
      </c>
      <c r="P324" s="106">
        <f t="shared" si="12"/>
        <v>821.16</v>
      </c>
      <c r="R324" s="24">
        <v>45344</v>
      </c>
      <c r="S324" s="26" t="s">
        <v>1234</v>
      </c>
      <c r="T324" s="24">
        <v>45366</v>
      </c>
      <c r="U324" s="25">
        <v>4</v>
      </c>
      <c r="V324" s="25" t="s">
        <v>683</v>
      </c>
    </row>
    <row r="325" spans="1:25" s="30" customFormat="1" x14ac:dyDescent="0.25">
      <c r="A325" s="28">
        <v>310</v>
      </c>
      <c r="B325" s="29">
        <v>45336</v>
      </c>
      <c r="C325" s="29">
        <v>45335</v>
      </c>
      <c r="D325" s="30" t="s">
        <v>1233</v>
      </c>
      <c r="E325" s="30" t="s">
        <v>267</v>
      </c>
      <c r="F325" s="30" t="s">
        <v>361</v>
      </c>
      <c r="G325" s="80">
        <f t="shared" si="14"/>
        <v>45336</v>
      </c>
      <c r="H325" s="264">
        <v>6576604848</v>
      </c>
      <c r="J325" s="30" t="s">
        <v>1220</v>
      </c>
      <c r="K325" s="30" t="s">
        <v>879</v>
      </c>
      <c r="L325" s="30" t="s">
        <v>174</v>
      </c>
      <c r="M325" s="30" t="s">
        <v>611</v>
      </c>
      <c r="N325" s="30">
        <v>4</v>
      </c>
      <c r="O325" s="30">
        <v>205.29</v>
      </c>
      <c r="P325" s="108">
        <f t="shared" si="12"/>
        <v>821.16</v>
      </c>
      <c r="R325" s="29"/>
      <c r="S325" s="31"/>
      <c r="T325" s="29"/>
      <c r="V325" s="30" t="s">
        <v>683</v>
      </c>
    </row>
    <row r="326" spans="1:25" s="25" customFormat="1" x14ac:dyDescent="0.25">
      <c r="A326" s="23">
        <v>311</v>
      </c>
      <c r="B326" s="24">
        <v>45336</v>
      </c>
      <c r="C326" s="24">
        <v>45335</v>
      </c>
      <c r="D326" s="25" t="s">
        <v>286</v>
      </c>
      <c r="E326" s="25" t="s">
        <v>1235</v>
      </c>
      <c r="F326" s="25" t="s">
        <v>361</v>
      </c>
      <c r="G326" s="79">
        <f t="shared" si="14"/>
        <v>45336</v>
      </c>
      <c r="H326" s="266">
        <v>2814799975</v>
      </c>
      <c r="J326" s="19" t="s">
        <v>1236</v>
      </c>
      <c r="K326" s="25" t="s">
        <v>1157</v>
      </c>
      <c r="L326" s="25" t="s">
        <v>83</v>
      </c>
      <c r="M326" s="25" t="s">
        <v>610</v>
      </c>
      <c r="N326" s="25">
        <v>4</v>
      </c>
      <c r="O326" s="25">
        <v>205.29</v>
      </c>
      <c r="P326" s="106">
        <f t="shared" si="12"/>
        <v>821.16</v>
      </c>
      <c r="R326" s="24">
        <v>45383</v>
      </c>
      <c r="S326" s="26" t="s">
        <v>1237</v>
      </c>
      <c r="T326" s="24">
        <v>45405</v>
      </c>
      <c r="U326" s="25">
        <v>4</v>
      </c>
      <c r="V326" s="25" t="s">
        <v>683</v>
      </c>
      <c r="X326" s="25" t="s">
        <v>1238</v>
      </c>
    </row>
    <row r="327" spans="1:25" s="25" customFormat="1" x14ac:dyDescent="0.25">
      <c r="A327" s="23">
        <v>312</v>
      </c>
      <c r="B327" s="24">
        <v>45336</v>
      </c>
      <c r="C327" s="24">
        <v>45335</v>
      </c>
      <c r="D327" s="25" t="s">
        <v>286</v>
      </c>
      <c r="E327" s="25" t="s">
        <v>1235</v>
      </c>
      <c r="F327" s="25" t="s">
        <v>361</v>
      </c>
      <c r="G327" s="79">
        <f t="shared" si="14"/>
        <v>45336</v>
      </c>
      <c r="H327" s="266">
        <v>2814799975</v>
      </c>
      <c r="J327" s="19" t="s">
        <v>1236</v>
      </c>
      <c r="K327" s="25" t="s">
        <v>1157</v>
      </c>
      <c r="L327" s="25" t="s">
        <v>83</v>
      </c>
      <c r="M327" s="25" t="s">
        <v>611</v>
      </c>
      <c r="N327" s="25">
        <v>4</v>
      </c>
      <c r="O327" s="25">
        <v>205.29</v>
      </c>
      <c r="P327" s="106">
        <f t="shared" si="12"/>
        <v>821.16</v>
      </c>
      <c r="R327" s="24">
        <v>45383</v>
      </c>
      <c r="S327" s="26" t="s">
        <v>1237</v>
      </c>
      <c r="T327" s="24">
        <v>45405</v>
      </c>
      <c r="U327" s="25">
        <v>4</v>
      </c>
      <c r="V327" s="25" t="s">
        <v>683</v>
      </c>
      <c r="X327" s="25" t="s">
        <v>1238</v>
      </c>
    </row>
    <row r="328" spans="1:25" s="25" customFormat="1" x14ac:dyDescent="0.25">
      <c r="A328" s="23">
        <v>313</v>
      </c>
      <c r="B328" s="24">
        <v>45337</v>
      </c>
      <c r="C328" s="24">
        <v>45316</v>
      </c>
      <c r="D328" s="25" t="s">
        <v>163</v>
      </c>
      <c r="E328" s="25" t="s">
        <v>1177</v>
      </c>
      <c r="F328" s="25" t="s">
        <v>667</v>
      </c>
      <c r="G328" s="79">
        <f t="shared" si="14"/>
        <v>45310</v>
      </c>
      <c r="H328" s="266">
        <v>4092423351</v>
      </c>
      <c r="J328" s="19" t="s">
        <v>668</v>
      </c>
      <c r="K328" s="25" t="s">
        <v>669</v>
      </c>
      <c r="L328" s="25" t="s">
        <v>144</v>
      </c>
      <c r="M328" s="25" t="s">
        <v>610</v>
      </c>
      <c r="N328" s="25">
        <v>2</v>
      </c>
      <c r="O328" s="25">
        <v>205.29</v>
      </c>
      <c r="P328" s="106">
        <f t="shared" si="12"/>
        <v>410.58</v>
      </c>
      <c r="R328" s="24">
        <v>45337</v>
      </c>
      <c r="S328" s="26" t="s">
        <v>1239</v>
      </c>
      <c r="T328" s="24">
        <v>45358</v>
      </c>
      <c r="U328" s="25">
        <v>2</v>
      </c>
      <c r="V328" s="25" t="s">
        <v>803</v>
      </c>
    </row>
    <row r="329" spans="1:25" s="25" customFormat="1" x14ac:dyDescent="0.25">
      <c r="A329" s="23">
        <v>314</v>
      </c>
      <c r="B329" s="24">
        <v>45337</v>
      </c>
      <c r="C329" s="24">
        <v>45316</v>
      </c>
      <c r="D329" s="25" t="s">
        <v>163</v>
      </c>
      <c r="E329" s="25" t="s">
        <v>1177</v>
      </c>
      <c r="F329" s="25" t="s">
        <v>667</v>
      </c>
      <c r="G329" s="79">
        <f t="shared" si="14"/>
        <v>45310</v>
      </c>
      <c r="H329" s="266">
        <v>4092423351</v>
      </c>
      <c r="J329" s="19" t="s">
        <v>668</v>
      </c>
      <c r="K329" s="25" t="s">
        <v>669</v>
      </c>
      <c r="L329" s="25" t="s">
        <v>144</v>
      </c>
      <c r="M329" s="25" t="s">
        <v>1178</v>
      </c>
      <c r="N329" s="25">
        <v>20</v>
      </c>
      <c r="O329" s="25">
        <v>58.45</v>
      </c>
      <c r="P329" s="106">
        <f t="shared" si="12"/>
        <v>1169</v>
      </c>
      <c r="R329" s="24">
        <v>45337</v>
      </c>
      <c r="S329" s="26" t="s">
        <v>1239</v>
      </c>
      <c r="T329" s="24">
        <v>45358</v>
      </c>
      <c r="U329" s="25">
        <v>20</v>
      </c>
      <c r="V329" s="25" t="s">
        <v>803</v>
      </c>
    </row>
    <row r="330" spans="1:25" s="25" customFormat="1" x14ac:dyDescent="0.25">
      <c r="A330" s="23">
        <v>315</v>
      </c>
      <c r="B330" s="24">
        <v>44973</v>
      </c>
      <c r="C330" s="24">
        <v>44973</v>
      </c>
      <c r="D330" s="25" t="s">
        <v>1240</v>
      </c>
      <c r="E330" s="25" t="s">
        <v>1241</v>
      </c>
      <c r="F330" s="25" t="s">
        <v>1242</v>
      </c>
      <c r="G330" s="79">
        <f t="shared" si="14"/>
        <v>45348</v>
      </c>
      <c r="H330" s="14">
        <v>4098429090</v>
      </c>
      <c r="J330" s="125" t="s">
        <v>1243</v>
      </c>
      <c r="K330" s="25" t="s">
        <v>1244</v>
      </c>
      <c r="M330" s="25" t="s">
        <v>610</v>
      </c>
      <c r="N330" s="115">
        <v>6</v>
      </c>
      <c r="O330" s="25">
        <v>200.62</v>
      </c>
      <c r="P330" s="106">
        <f t="shared" si="12"/>
        <v>1203.72</v>
      </c>
      <c r="Q330" s="32"/>
      <c r="R330" s="24">
        <v>45357</v>
      </c>
      <c r="S330" s="26" t="s">
        <v>1245</v>
      </c>
      <c r="T330" s="24">
        <v>45378</v>
      </c>
      <c r="U330" s="25">
        <v>6</v>
      </c>
      <c r="V330" s="25" t="s">
        <v>683</v>
      </c>
      <c r="Y330" s="25" t="s">
        <v>889</v>
      </c>
    </row>
    <row r="331" spans="1:25" s="25" customFormat="1" x14ac:dyDescent="0.25">
      <c r="A331" s="23">
        <v>316</v>
      </c>
      <c r="B331" s="24">
        <v>44973</v>
      </c>
      <c r="C331" s="24">
        <v>44973</v>
      </c>
      <c r="D331" s="25" t="s">
        <v>1240</v>
      </c>
      <c r="E331" s="25" t="s">
        <v>1241</v>
      </c>
      <c r="F331" s="25" t="s">
        <v>1242</v>
      </c>
      <c r="G331" s="79">
        <f t="shared" si="14"/>
        <v>45348</v>
      </c>
      <c r="H331" s="14">
        <v>4098429090</v>
      </c>
      <c r="J331" s="125" t="s">
        <v>1243</v>
      </c>
      <c r="K331" s="25" t="s">
        <v>1244</v>
      </c>
      <c r="M331" s="25" t="s">
        <v>611</v>
      </c>
      <c r="N331" s="115">
        <v>6</v>
      </c>
      <c r="O331" s="25">
        <v>200.62</v>
      </c>
      <c r="P331" s="106">
        <f t="shared" si="12"/>
        <v>1203.72</v>
      </c>
      <c r="Q331" s="32"/>
      <c r="R331" s="24">
        <v>45357</v>
      </c>
      <c r="S331" s="26" t="s">
        <v>1245</v>
      </c>
      <c r="T331" s="24">
        <v>45378</v>
      </c>
      <c r="U331" s="25">
        <v>6</v>
      </c>
      <c r="V331" s="25" t="s">
        <v>683</v>
      </c>
      <c r="Y331" s="25" t="s">
        <v>889</v>
      </c>
    </row>
    <row r="332" spans="1:25" s="130" customFormat="1" x14ac:dyDescent="0.25">
      <c r="A332" s="128">
        <v>317</v>
      </c>
      <c r="B332" s="129">
        <v>45341</v>
      </c>
      <c r="C332" s="129">
        <v>45341</v>
      </c>
      <c r="D332" s="130" t="s">
        <v>1246</v>
      </c>
      <c r="E332" s="130" t="s">
        <v>1247</v>
      </c>
      <c r="F332" s="130" t="s">
        <v>1248</v>
      </c>
      <c r="G332" s="131" t="str">
        <f t="shared" si="14"/>
        <v>NEED FORM</v>
      </c>
      <c r="H332" s="267"/>
      <c r="J332" s="120" t="s">
        <v>1249</v>
      </c>
      <c r="K332" t="s">
        <v>1228</v>
      </c>
      <c r="M332" s="130" t="s">
        <v>1250</v>
      </c>
      <c r="N332" s="130">
        <v>88</v>
      </c>
      <c r="O332" s="130">
        <v>164.87</v>
      </c>
      <c r="P332" s="132">
        <f t="shared" ref="P332:P335" si="15">N332*O332+Q332</f>
        <v>14508.560000000001</v>
      </c>
      <c r="R332" s="129"/>
      <c r="S332" s="133"/>
      <c r="T332" s="129"/>
      <c r="Y332" s="130" t="s">
        <v>1164</v>
      </c>
    </row>
    <row r="333" spans="1:25" s="30" customFormat="1" x14ac:dyDescent="0.25">
      <c r="A333" s="28">
        <v>318</v>
      </c>
      <c r="B333" s="29">
        <v>45352</v>
      </c>
      <c r="C333" s="29">
        <v>45352</v>
      </c>
      <c r="D333" s="30" t="s">
        <v>87</v>
      </c>
      <c r="E333" s="30" t="s">
        <v>128</v>
      </c>
      <c r="F333" s="30" t="s">
        <v>1251</v>
      </c>
      <c r="G333" s="80">
        <f t="shared" si="14"/>
        <v>45411</v>
      </c>
      <c r="H333" s="264">
        <v>6096518511</v>
      </c>
      <c r="J333" s="134" t="s">
        <v>1252</v>
      </c>
      <c r="K333" s="30" t="s">
        <v>297</v>
      </c>
      <c r="L333" s="30" t="s">
        <v>96</v>
      </c>
      <c r="M333" s="30" t="s">
        <v>610</v>
      </c>
      <c r="N333" s="30">
        <v>2</v>
      </c>
      <c r="O333" s="30">
        <v>205.29</v>
      </c>
      <c r="P333" s="107">
        <f t="shared" si="15"/>
        <v>410.58</v>
      </c>
      <c r="R333" s="29"/>
      <c r="S333" s="31"/>
      <c r="T333" s="29"/>
    </row>
    <row r="334" spans="1:25" s="30" customFormat="1" ht="15.75" thickBot="1" x14ac:dyDescent="0.3">
      <c r="A334" s="28">
        <v>319</v>
      </c>
      <c r="B334" s="29">
        <v>45352</v>
      </c>
      <c r="C334" s="29">
        <v>45352</v>
      </c>
      <c r="D334" s="30" t="s">
        <v>87</v>
      </c>
      <c r="E334" s="30" t="s">
        <v>128</v>
      </c>
      <c r="F334" s="30" t="s">
        <v>1251</v>
      </c>
      <c r="G334" s="80">
        <f t="shared" si="14"/>
        <v>45411</v>
      </c>
      <c r="H334" s="264">
        <v>6096518511</v>
      </c>
      <c r="J334" s="134" t="s">
        <v>1252</v>
      </c>
      <c r="K334" s="30" t="s">
        <v>297</v>
      </c>
      <c r="L334" s="30" t="s">
        <v>96</v>
      </c>
      <c r="M334" s="30" t="s">
        <v>608</v>
      </c>
      <c r="N334" s="130">
        <v>2</v>
      </c>
      <c r="O334" s="130">
        <v>205.29</v>
      </c>
      <c r="P334" s="132">
        <f t="shared" si="15"/>
        <v>410.58</v>
      </c>
      <c r="R334" s="29"/>
      <c r="S334" s="31"/>
      <c r="T334" s="29"/>
    </row>
    <row r="335" spans="1:25" s="30" customFormat="1" x14ac:dyDescent="0.25">
      <c r="A335" s="28">
        <v>320</v>
      </c>
      <c r="B335" s="29">
        <v>45355</v>
      </c>
      <c r="C335" s="29">
        <v>45355</v>
      </c>
      <c r="D335" s="30" t="s">
        <v>244</v>
      </c>
      <c r="E335" s="30" t="s">
        <v>1006</v>
      </c>
      <c r="F335" s="30" t="s">
        <v>641</v>
      </c>
      <c r="G335" s="80">
        <f t="shared" si="14"/>
        <v>45359</v>
      </c>
      <c r="H335" s="264">
        <v>3618822564</v>
      </c>
      <c r="I335" s="30">
        <v>253</v>
      </c>
      <c r="J335" s="30" t="s">
        <v>1007</v>
      </c>
      <c r="K335" s="30" t="s">
        <v>643</v>
      </c>
      <c r="L335" s="30" t="s">
        <v>144</v>
      </c>
      <c r="M335" s="30" t="s">
        <v>610</v>
      </c>
      <c r="N335" s="135">
        <v>1</v>
      </c>
      <c r="O335" s="136">
        <v>233.28</v>
      </c>
      <c r="P335" s="137">
        <f t="shared" si="15"/>
        <v>233.28</v>
      </c>
      <c r="R335" s="29">
        <v>45358</v>
      </c>
      <c r="S335" s="31" t="s">
        <v>1253</v>
      </c>
      <c r="T335" s="29"/>
      <c r="V335" s="30" t="s">
        <v>803</v>
      </c>
    </row>
    <row r="336" spans="1:25" s="30" customFormat="1" ht="15.75" thickBot="1" x14ac:dyDescent="0.3">
      <c r="A336" s="28">
        <v>321</v>
      </c>
      <c r="B336" s="29">
        <v>45355</v>
      </c>
      <c r="C336" s="29">
        <v>45355</v>
      </c>
      <c r="D336" s="30" t="s">
        <v>244</v>
      </c>
      <c r="E336" s="30" t="s">
        <v>1006</v>
      </c>
      <c r="F336" s="30" t="s">
        <v>641</v>
      </c>
      <c r="G336" s="80">
        <f t="shared" si="14"/>
        <v>45359</v>
      </c>
      <c r="H336" s="264">
        <v>3618822564</v>
      </c>
      <c r="I336" s="30">
        <v>253</v>
      </c>
      <c r="J336" s="30" t="s">
        <v>1007</v>
      </c>
      <c r="K336" s="30" t="s">
        <v>643</v>
      </c>
      <c r="L336" s="30" t="s">
        <v>144</v>
      </c>
      <c r="M336" s="30" t="s">
        <v>611</v>
      </c>
      <c r="N336" s="138">
        <v>1</v>
      </c>
      <c r="O336" s="139">
        <v>262.44</v>
      </c>
      <c r="P336" s="140">
        <v>262.44</v>
      </c>
      <c r="R336" s="29"/>
      <c r="S336" s="31"/>
      <c r="T336" s="29"/>
      <c r="V336" s="30" t="s">
        <v>803</v>
      </c>
    </row>
    <row r="337" spans="1:24" s="25" customFormat="1" x14ac:dyDescent="0.25">
      <c r="A337" s="23">
        <v>322</v>
      </c>
      <c r="B337" s="24">
        <v>45357</v>
      </c>
      <c r="C337" s="24">
        <v>45357</v>
      </c>
      <c r="D337" s="25" t="s">
        <v>68</v>
      </c>
      <c r="E337" s="25" t="s">
        <v>980</v>
      </c>
      <c r="F337" s="25" t="s">
        <v>728</v>
      </c>
      <c r="G337" s="79">
        <f t="shared" si="14"/>
        <v>45358</v>
      </c>
      <c r="H337" s="14">
        <v>6265440202</v>
      </c>
      <c r="J337" s="25" t="s">
        <v>729</v>
      </c>
      <c r="K337" s="25" t="s">
        <v>981</v>
      </c>
      <c r="L337" s="25" t="s">
        <v>174</v>
      </c>
      <c r="M337" s="25" t="s">
        <v>639</v>
      </c>
      <c r="N337" s="25">
        <v>20</v>
      </c>
      <c r="O337" s="25">
        <v>176.36</v>
      </c>
      <c r="P337" s="106">
        <f t="shared" ref="P337:P368" si="16">N337*O337+Q337</f>
        <v>3527.2000000000003</v>
      </c>
      <c r="R337" s="24">
        <v>45358</v>
      </c>
      <c r="S337" s="26" t="s">
        <v>1254</v>
      </c>
      <c r="T337" s="24">
        <v>45380</v>
      </c>
      <c r="U337" s="25">
        <v>20</v>
      </c>
      <c r="V337" s="25" t="s">
        <v>683</v>
      </c>
    </row>
    <row r="338" spans="1:24" s="25" customFormat="1" x14ac:dyDescent="0.25">
      <c r="A338" s="23">
        <v>323</v>
      </c>
      <c r="B338" s="24">
        <v>45357</v>
      </c>
      <c r="C338" s="24">
        <v>45357</v>
      </c>
      <c r="D338" s="25" t="s">
        <v>68</v>
      </c>
      <c r="E338" s="25" t="s">
        <v>980</v>
      </c>
      <c r="F338" s="25" t="s">
        <v>728</v>
      </c>
      <c r="G338" s="79">
        <f t="shared" si="14"/>
        <v>45358</v>
      </c>
      <c r="H338" s="14">
        <v>6265440202</v>
      </c>
      <c r="J338" s="25" t="s">
        <v>729</v>
      </c>
      <c r="K338" s="25" t="s">
        <v>981</v>
      </c>
      <c r="L338" s="25" t="s">
        <v>174</v>
      </c>
      <c r="M338" s="25" t="s">
        <v>608</v>
      </c>
      <c r="N338" s="25">
        <v>20</v>
      </c>
      <c r="O338" s="25">
        <v>176.36</v>
      </c>
      <c r="P338" s="106">
        <f t="shared" si="16"/>
        <v>3527.2000000000003</v>
      </c>
      <c r="R338" s="24">
        <v>45358</v>
      </c>
      <c r="S338" s="26" t="s">
        <v>1254</v>
      </c>
      <c r="T338" s="24">
        <v>45380</v>
      </c>
      <c r="U338" s="25">
        <v>20</v>
      </c>
      <c r="V338" s="25" t="s">
        <v>683</v>
      </c>
    </row>
    <row r="339" spans="1:24" s="25" customFormat="1" x14ac:dyDescent="0.25">
      <c r="A339" s="23">
        <v>324</v>
      </c>
      <c r="B339" s="24">
        <v>45357</v>
      </c>
      <c r="C339" s="24">
        <v>45357</v>
      </c>
      <c r="D339" s="25" t="s">
        <v>68</v>
      </c>
      <c r="E339" s="25" t="s">
        <v>980</v>
      </c>
      <c r="F339" s="25" t="s">
        <v>728</v>
      </c>
      <c r="G339" s="79">
        <f t="shared" si="14"/>
        <v>45358</v>
      </c>
      <c r="H339" s="14">
        <v>6265440202</v>
      </c>
      <c r="J339" s="25" t="s">
        <v>729</v>
      </c>
      <c r="K339" s="25" t="s">
        <v>981</v>
      </c>
      <c r="L339" s="25" t="s">
        <v>174</v>
      </c>
      <c r="M339" s="25" t="s">
        <v>610</v>
      </c>
      <c r="N339" s="25">
        <v>20</v>
      </c>
      <c r="O339" s="25">
        <v>176.36</v>
      </c>
      <c r="P339" s="106">
        <f t="shared" si="16"/>
        <v>3527.2000000000003</v>
      </c>
      <c r="R339" s="24">
        <v>45358</v>
      </c>
      <c r="S339" s="26" t="s">
        <v>1254</v>
      </c>
      <c r="T339" s="24">
        <v>45380</v>
      </c>
      <c r="U339" s="25">
        <v>20</v>
      </c>
      <c r="V339" s="25" t="s">
        <v>683</v>
      </c>
    </row>
    <row r="340" spans="1:24" s="25" customFormat="1" x14ac:dyDescent="0.25">
      <c r="A340" s="23">
        <v>325</v>
      </c>
      <c r="B340" s="24">
        <v>45357</v>
      </c>
      <c r="C340" s="24">
        <v>45357</v>
      </c>
      <c r="D340" s="25" t="s">
        <v>68</v>
      </c>
      <c r="E340" s="25" t="s">
        <v>980</v>
      </c>
      <c r="F340" s="25" t="s">
        <v>728</v>
      </c>
      <c r="G340" s="79">
        <f t="shared" si="14"/>
        <v>45358</v>
      </c>
      <c r="H340" s="14">
        <v>6265440202</v>
      </c>
      <c r="J340" s="25" t="s">
        <v>729</v>
      </c>
      <c r="K340" s="25" t="s">
        <v>981</v>
      </c>
      <c r="L340" s="25" t="s">
        <v>174</v>
      </c>
      <c r="M340" s="25" t="s">
        <v>611</v>
      </c>
      <c r="N340" s="25">
        <v>20</v>
      </c>
      <c r="O340" s="25">
        <v>195.96</v>
      </c>
      <c r="P340" s="106">
        <f t="shared" si="16"/>
        <v>3919.2000000000003</v>
      </c>
      <c r="R340" s="24">
        <v>45358</v>
      </c>
      <c r="S340" s="26" t="s">
        <v>1254</v>
      </c>
      <c r="T340" s="24">
        <v>45380</v>
      </c>
      <c r="U340" s="25">
        <v>20</v>
      </c>
      <c r="V340" s="25" t="s">
        <v>683</v>
      </c>
    </row>
    <row r="341" spans="1:24" s="25" customFormat="1" x14ac:dyDescent="0.25">
      <c r="A341" s="23">
        <v>326</v>
      </c>
      <c r="B341" s="24">
        <v>45357</v>
      </c>
      <c r="C341" s="24">
        <v>45357</v>
      </c>
      <c r="D341" s="25" t="s">
        <v>68</v>
      </c>
      <c r="E341" s="25" t="s">
        <v>980</v>
      </c>
      <c r="F341" s="25" t="s">
        <v>728</v>
      </c>
      <c r="G341" s="79">
        <f t="shared" si="14"/>
        <v>45358</v>
      </c>
      <c r="H341" s="14">
        <v>6265440202</v>
      </c>
      <c r="J341" s="25" t="s">
        <v>729</v>
      </c>
      <c r="K341" s="25" t="s">
        <v>981</v>
      </c>
      <c r="L341" s="25" t="s">
        <v>174</v>
      </c>
      <c r="M341" s="25" t="s">
        <v>704</v>
      </c>
      <c r="N341" s="25">
        <v>20</v>
      </c>
      <c r="O341" s="25">
        <v>176.36</v>
      </c>
      <c r="P341" s="106">
        <f t="shared" si="16"/>
        <v>3527.2000000000003</v>
      </c>
      <c r="R341" s="24">
        <v>45358</v>
      </c>
      <c r="S341" s="26" t="s">
        <v>1254</v>
      </c>
      <c r="T341" s="24">
        <v>45380</v>
      </c>
      <c r="U341" s="25">
        <v>20</v>
      </c>
      <c r="V341" s="25" t="s">
        <v>683</v>
      </c>
    </row>
    <row r="342" spans="1:24" s="25" customFormat="1" x14ac:dyDescent="0.25">
      <c r="A342" s="23">
        <v>327</v>
      </c>
      <c r="B342" s="24">
        <v>45357</v>
      </c>
      <c r="C342" s="24">
        <v>45357</v>
      </c>
      <c r="D342" s="25" t="s">
        <v>68</v>
      </c>
      <c r="E342" s="25" t="s">
        <v>980</v>
      </c>
      <c r="F342" s="25" t="s">
        <v>728</v>
      </c>
      <c r="G342" s="79">
        <f t="shared" si="14"/>
        <v>45358</v>
      </c>
      <c r="H342" s="14">
        <v>6265440202</v>
      </c>
      <c r="J342" s="25" t="s">
        <v>729</v>
      </c>
      <c r="K342" s="25" t="s">
        <v>981</v>
      </c>
      <c r="L342" s="25" t="s">
        <v>174</v>
      </c>
      <c r="M342" s="25" t="s">
        <v>625</v>
      </c>
      <c r="N342" s="25">
        <v>20</v>
      </c>
      <c r="O342" s="25">
        <v>176.36</v>
      </c>
      <c r="P342" s="106">
        <f t="shared" si="16"/>
        <v>3527.2000000000003</v>
      </c>
      <c r="R342" s="24">
        <v>45358</v>
      </c>
      <c r="S342" s="26" t="s">
        <v>1254</v>
      </c>
      <c r="T342" s="24">
        <v>45380</v>
      </c>
      <c r="U342" s="25">
        <v>20</v>
      </c>
      <c r="V342" s="25" t="s">
        <v>683</v>
      </c>
    </row>
    <row r="343" spans="1:24" s="25" customFormat="1" x14ac:dyDescent="0.25">
      <c r="A343" s="23">
        <v>328</v>
      </c>
      <c r="B343" s="24">
        <v>45357</v>
      </c>
      <c r="C343" s="24">
        <v>45357</v>
      </c>
      <c r="D343" s="25" t="s">
        <v>68</v>
      </c>
      <c r="E343" s="25" t="s">
        <v>980</v>
      </c>
      <c r="F343" s="25" t="s">
        <v>728</v>
      </c>
      <c r="G343" s="79">
        <f t="shared" ref="G343:G374" si="17">_xlfn.IFNA(VLOOKUP(F343,TAX,2,FALSE), "NEED FORM")</f>
        <v>45358</v>
      </c>
      <c r="H343" s="14">
        <v>6265440202</v>
      </c>
      <c r="J343" s="25" t="s">
        <v>729</v>
      </c>
      <c r="K343" s="25" t="s">
        <v>981</v>
      </c>
      <c r="L343" s="25" t="s">
        <v>174</v>
      </c>
      <c r="M343" s="25" t="s">
        <v>626</v>
      </c>
      <c r="N343" s="25">
        <v>20</v>
      </c>
      <c r="O343" s="25">
        <v>176.36</v>
      </c>
      <c r="P343" s="106">
        <f t="shared" si="16"/>
        <v>3527.2000000000003</v>
      </c>
      <c r="R343" s="24">
        <v>45358</v>
      </c>
      <c r="S343" s="26" t="s">
        <v>1254</v>
      </c>
      <c r="T343" s="24">
        <v>45380</v>
      </c>
      <c r="U343" s="25">
        <v>20</v>
      </c>
      <c r="V343" s="25" t="s">
        <v>683</v>
      </c>
    </row>
    <row r="344" spans="1:24" s="30" customFormat="1" x14ac:dyDescent="0.25">
      <c r="A344" s="28">
        <v>329</v>
      </c>
      <c r="B344" s="29">
        <v>45359</v>
      </c>
      <c r="C344" s="29">
        <v>45359</v>
      </c>
      <c r="D344" s="30" t="s">
        <v>1255</v>
      </c>
      <c r="E344" s="30" t="s">
        <v>1256</v>
      </c>
      <c r="F344" s="30" t="s">
        <v>1257</v>
      </c>
      <c r="G344" s="80" t="str">
        <f t="shared" si="17"/>
        <v>NEED FORM</v>
      </c>
      <c r="H344" s="264">
        <v>8329828560</v>
      </c>
      <c r="J344" s="120" t="s">
        <v>1258</v>
      </c>
      <c r="M344" s="30" t="s">
        <v>608</v>
      </c>
      <c r="N344" s="30">
        <v>14</v>
      </c>
      <c r="O344" s="30">
        <v>195.96</v>
      </c>
      <c r="P344" s="107">
        <f t="shared" si="16"/>
        <v>2743.44</v>
      </c>
      <c r="R344" s="29"/>
      <c r="S344" s="31"/>
      <c r="T344" s="29"/>
      <c r="V344" s="30" t="s">
        <v>1041</v>
      </c>
      <c r="W344" s="30" t="s">
        <v>1259</v>
      </c>
    </row>
    <row r="345" spans="1:24" s="25" customFormat="1" x14ac:dyDescent="0.25">
      <c r="A345" s="23">
        <v>330</v>
      </c>
      <c r="B345" s="24">
        <v>45345</v>
      </c>
      <c r="C345" s="24">
        <v>45345</v>
      </c>
      <c r="D345" s="25" t="s">
        <v>890</v>
      </c>
      <c r="E345" s="25" t="s">
        <v>891</v>
      </c>
      <c r="F345" s="25" t="s">
        <v>628</v>
      </c>
      <c r="G345" s="79">
        <f t="shared" si="17"/>
        <v>44562</v>
      </c>
      <c r="H345" s="14">
        <v>4323682207</v>
      </c>
      <c r="J345" s="19" t="s">
        <v>892</v>
      </c>
      <c r="K345" s="25" t="s">
        <v>505</v>
      </c>
      <c r="L345" s="25" t="s">
        <v>144</v>
      </c>
      <c r="M345" s="25" t="s">
        <v>610</v>
      </c>
      <c r="N345" s="25">
        <v>20</v>
      </c>
      <c r="O345" s="25">
        <v>195.96</v>
      </c>
      <c r="P345" s="106">
        <f t="shared" si="16"/>
        <v>3919.2000000000003</v>
      </c>
      <c r="Q345" s="32"/>
      <c r="R345" s="24">
        <v>45345</v>
      </c>
      <c r="S345" s="26">
        <v>9565234</v>
      </c>
      <c r="T345" s="24">
        <v>45383</v>
      </c>
      <c r="U345" s="25">
        <v>20</v>
      </c>
      <c r="V345" s="25" t="s">
        <v>896</v>
      </c>
    </row>
    <row r="346" spans="1:24" s="25" customFormat="1" x14ac:dyDescent="0.25">
      <c r="A346" s="23">
        <v>331</v>
      </c>
      <c r="B346" s="24">
        <v>45363</v>
      </c>
      <c r="C346" s="24">
        <v>45322</v>
      </c>
      <c r="D346" s="25" t="s">
        <v>1212</v>
      </c>
      <c r="E346" s="25" t="s">
        <v>1213</v>
      </c>
      <c r="F346" s="25" t="s">
        <v>836</v>
      </c>
      <c r="G346" s="79">
        <f t="shared" si="17"/>
        <v>45324</v>
      </c>
      <c r="H346" s="266">
        <v>3342775030</v>
      </c>
      <c r="J346" s="25" t="s">
        <v>1214</v>
      </c>
      <c r="K346" s="25" t="s">
        <v>425</v>
      </c>
      <c r="L346" s="25" t="s">
        <v>108</v>
      </c>
      <c r="M346" s="25" t="s">
        <v>610</v>
      </c>
      <c r="N346" s="25">
        <v>2</v>
      </c>
      <c r="O346" s="25">
        <v>205.29</v>
      </c>
      <c r="P346" s="106">
        <f t="shared" si="16"/>
        <v>410.58</v>
      </c>
      <c r="R346" s="24">
        <v>45362</v>
      </c>
      <c r="S346" s="26" t="s">
        <v>1260</v>
      </c>
      <c r="T346" s="24">
        <v>45384</v>
      </c>
      <c r="U346" s="25">
        <v>2</v>
      </c>
      <c r="V346" s="25" t="s">
        <v>803</v>
      </c>
    </row>
    <row r="347" spans="1:24" s="25" customFormat="1" x14ac:dyDescent="0.25">
      <c r="A347" s="23">
        <v>332</v>
      </c>
      <c r="B347" s="24">
        <v>45363</v>
      </c>
      <c r="C347" s="24">
        <v>45363</v>
      </c>
      <c r="D347" s="25" t="s">
        <v>1261</v>
      </c>
      <c r="E347" s="25" t="s">
        <v>1262</v>
      </c>
      <c r="F347" s="25" t="s">
        <v>628</v>
      </c>
      <c r="G347" s="79">
        <f t="shared" si="17"/>
        <v>44562</v>
      </c>
      <c r="H347" s="14">
        <v>4329247151</v>
      </c>
      <c r="J347" s="25" t="s">
        <v>1263</v>
      </c>
      <c r="K347" s="25" t="s">
        <v>633</v>
      </c>
      <c r="L347" s="25" t="s">
        <v>144</v>
      </c>
      <c r="M347" s="25" t="s">
        <v>610</v>
      </c>
      <c r="N347" s="25">
        <v>12</v>
      </c>
      <c r="O347" s="25">
        <v>205.29</v>
      </c>
      <c r="P347" s="106">
        <f t="shared" si="16"/>
        <v>2463.48</v>
      </c>
      <c r="R347" s="24">
        <v>45364</v>
      </c>
      <c r="S347" s="26">
        <v>9588665</v>
      </c>
      <c r="T347" s="24">
        <v>45385</v>
      </c>
      <c r="U347" s="25">
        <v>12</v>
      </c>
      <c r="V347" s="25" t="s">
        <v>683</v>
      </c>
    </row>
    <row r="348" spans="1:24" s="30" customFormat="1" x14ac:dyDescent="0.25">
      <c r="A348" s="28">
        <v>333</v>
      </c>
      <c r="B348" s="29">
        <v>45363</v>
      </c>
      <c r="C348" s="29">
        <v>45363</v>
      </c>
      <c r="D348" t="s">
        <v>324</v>
      </c>
      <c r="E348" t="s">
        <v>1264</v>
      </c>
      <c r="F348" s="30" t="s">
        <v>628</v>
      </c>
      <c r="G348" s="80">
        <f t="shared" si="17"/>
        <v>44562</v>
      </c>
      <c r="H348" s="15">
        <v>4329247151</v>
      </c>
      <c r="J348" s="30" t="s">
        <v>1265</v>
      </c>
      <c r="K348" s="30" t="s">
        <v>633</v>
      </c>
      <c r="L348" s="30" t="s">
        <v>144</v>
      </c>
      <c r="M348" s="30" t="s">
        <v>610</v>
      </c>
      <c r="N348" s="30">
        <v>1</v>
      </c>
      <c r="O348" s="30">
        <v>233.28</v>
      </c>
      <c r="P348" s="108">
        <f t="shared" si="16"/>
        <v>233.28</v>
      </c>
      <c r="R348" s="29"/>
      <c r="S348" s="31"/>
      <c r="T348" s="29"/>
      <c r="V348" s="30" t="s">
        <v>683</v>
      </c>
      <c r="X348" s="30" t="s">
        <v>1266</v>
      </c>
    </row>
    <row r="349" spans="1:24" s="30" customFormat="1" x14ac:dyDescent="0.25">
      <c r="A349" s="28">
        <v>334</v>
      </c>
      <c r="B349" s="29">
        <v>45363</v>
      </c>
      <c r="C349" s="29">
        <v>45363</v>
      </c>
      <c r="D349" t="s">
        <v>324</v>
      </c>
      <c r="E349" t="s">
        <v>1264</v>
      </c>
      <c r="F349" s="30" t="s">
        <v>628</v>
      </c>
      <c r="G349" s="80">
        <f t="shared" si="17"/>
        <v>44562</v>
      </c>
      <c r="H349" s="15">
        <v>4329247151</v>
      </c>
      <c r="J349" s="30" t="s">
        <v>1265</v>
      </c>
      <c r="K349" s="30" t="s">
        <v>633</v>
      </c>
      <c r="L349" s="30" t="s">
        <v>144</v>
      </c>
      <c r="M349" s="30" t="s">
        <v>611</v>
      </c>
      <c r="N349" s="30">
        <v>3</v>
      </c>
      <c r="O349" s="30">
        <v>205.29</v>
      </c>
      <c r="P349" s="108">
        <f t="shared" si="16"/>
        <v>615.87</v>
      </c>
      <c r="R349" s="29"/>
      <c r="S349" s="31"/>
      <c r="T349" s="29"/>
      <c r="V349" s="30" t="s">
        <v>683</v>
      </c>
      <c r="X349" s="30" t="s">
        <v>1266</v>
      </c>
    </row>
    <row r="350" spans="1:24" s="30" customFormat="1" x14ac:dyDescent="0.25">
      <c r="A350" s="28">
        <v>335</v>
      </c>
      <c r="B350" s="29">
        <v>45369</v>
      </c>
      <c r="C350" s="29">
        <v>45369</v>
      </c>
      <c r="D350" s="30" t="s">
        <v>77</v>
      </c>
      <c r="E350" s="30" t="s">
        <v>1172</v>
      </c>
      <c r="F350" s="30" t="s">
        <v>1267</v>
      </c>
      <c r="G350" s="80" t="str">
        <f t="shared" si="17"/>
        <v>NEED FORM</v>
      </c>
      <c r="H350" s="264">
        <v>6291276109149</v>
      </c>
      <c r="J350" s="120" t="s">
        <v>1174</v>
      </c>
      <c r="K350" s="141" t="s">
        <v>1268</v>
      </c>
      <c r="M350" s="30" t="s">
        <v>704</v>
      </c>
      <c r="N350" s="30">
        <v>76</v>
      </c>
      <c r="O350" s="30">
        <v>164.87</v>
      </c>
      <c r="P350" s="107">
        <f t="shared" si="16"/>
        <v>12530.12</v>
      </c>
      <c r="R350" s="29"/>
      <c r="S350" s="31"/>
      <c r="T350" s="29"/>
      <c r="V350" s="30" t="s">
        <v>1269</v>
      </c>
    </row>
    <row r="351" spans="1:24" s="30" customFormat="1" x14ac:dyDescent="0.25">
      <c r="A351" s="28">
        <v>336</v>
      </c>
      <c r="B351" s="29">
        <v>45369</v>
      </c>
      <c r="C351" s="29">
        <v>45369</v>
      </c>
      <c r="D351" s="30" t="s">
        <v>77</v>
      </c>
      <c r="E351" s="30" t="s">
        <v>1172</v>
      </c>
      <c r="F351" s="30" t="s">
        <v>1267</v>
      </c>
      <c r="G351" s="80" t="str">
        <f t="shared" si="17"/>
        <v>NEED FORM</v>
      </c>
      <c r="H351" s="264">
        <v>6291276109149</v>
      </c>
      <c r="J351" s="120" t="s">
        <v>1174</v>
      </c>
      <c r="K351" s="141" t="s">
        <v>1268</v>
      </c>
      <c r="M351" s="30" t="s">
        <v>625</v>
      </c>
      <c r="N351" s="30">
        <v>6</v>
      </c>
      <c r="O351" s="30">
        <v>200.62</v>
      </c>
      <c r="P351" s="107">
        <f t="shared" si="16"/>
        <v>1203.72</v>
      </c>
      <c r="R351" s="29"/>
      <c r="S351" s="31"/>
      <c r="T351" s="29"/>
      <c r="V351" s="30" t="s">
        <v>1269</v>
      </c>
    </row>
    <row r="352" spans="1:24" s="25" customFormat="1" x14ac:dyDescent="0.25">
      <c r="A352" s="23">
        <v>337</v>
      </c>
      <c r="B352" s="24">
        <v>45370</v>
      </c>
      <c r="C352" s="24">
        <v>45370</v>
      </c>
      <c r="D352" s="25" t="s">
        <v>244</v>
      </c>
      <c r="E352" s="25" t="s">
        <v>1006</v>
      </c>
      <c r="F352" s="25" t="s">
        <v>641</v>
      </c>
      <c r="G352" s="79">
        <f t="shared" si="17"/>
        <v>45359</v>
      </c>
      <c r="H352" s="14">
        <v>3618822564</v>
      </c>
      <c r="I352" s="25">
        <v>253</v>
      </c>
      <c r="J352" s="25" t="s">
        <v>1007</v>
      </c>
      <c r="K352" s="25" t="s">
        <v>643</v>
      </c>
      <c r="L352" s="25" t="s">
        <v>144</v>
      </c>
      <c r="M352" s="25" t="s">
        <v>610</v>
      </c>
      <c r="N352" s="25">
        <v>1</v>
      </c>
      <c r="O352" s="25">
        <v>262.44</v>
      </c>
      <c r="P352" s="106">
        <f t="shared" si="16"/>
        <v>262.44</v>
      </c>
      <c r="R352" s="24">
        <v>45373</v>
      </c>
      <c r="S352" s="26" t="s">
        <v>1270</v>
      </c>
      <c r="T352" s="24">
        <v>45394</v>
      </c>
      <c r="U352" s="25">
        <v>1</v>
      </c>
      <c r="V352" s="25" t="s">
        <v>803</v>
      </c>
    </row>
    <row r="353" spans="1:25" s="25" customFormat="1" x14ac:dyDescent="0.25">
      <c r="A353" s="23">
        <v>338</v>
      </c>
      <c r="B353" s="24">
        <v>45370</v>
      </c>
      <c r="C353" s="24">
        <v>45370</v>
      </c>
      <c r="D353" s="238" t="s">
        <v>244</v>
      </c>
      <c r="E353" s="25" t="s">
        <v>1006</v>
      </c>
      <c r="F353" s="25" t="s">
        <v>641</v>
      </c>
      <c r="G353" s="79">
        <f t="shared" si="17"/>
        <v>45359</v>
      </c>
      <c r="H353" s="14">
        <v>3618822564</v>
      </c>
      <c r="I353" s="25">
        <v>253</v>
      </c>
      <c r="J353" s="25" t="s">
        <v>1007</v>
      </c>
      <c r="K353" s="25" t="s">
        <v>643</v>
      </c>
      <c r="L353" s="25" t="s">
        <v>144</v>
      </c>
      <c r="M353" s="25" t="s">
        <v>611</v>
      </c>
      <c r="N353" s="25">
        <v>1</v>
      </c>
      <c r="O353" s="25">
        <v>262.44</v>
      </c>
      <c r="P353" s="106">
        <f t="shared" si="16"/>
        <v>262.44</v>
      </c>
      <c r="R353" s="24">
        <v>45373</v>
      </c>
      <c r="S353" s="26" t="s">
        <v>1270</v>
      </c>
      <c r="T353" s="24">
        <v>45394</v>
      </c>
      <c r="U353" s="25">
        <v>1</v>
      </c>
      <c r="V353" s="25" t="s">
        <v>803</v>
      </c>
    </row>
    <row r="354" spans="1:25" s="30" customFormat="1" x14ac:dyDescent="0.25">
      <c r="A354" s="28">
        <v>339</v>
      </c>
      <c r="B354" s="29">
        <v>45370</v>
      </c>
      <c r="C354" s="29">
        <v>45370</v>
      </c>
      <c r="D354" s="30" t="s">
        <v>1271</v>
      </c>
      <c r="E354" s="30" t="s">
        <v>1272</v>
      </c>
      <c r="F354" s="30" t="s">
        <v>615</v>
      </c>
      <c r="G354" s="80">
        <f t="shared" si="17"/>
        <v>45286</v>
      </c>
      <c r="H354" s="15">
        <v>6641270205</v>
      </c>
      <c r="J354" s="30" t="s">
        <v>1273</v>
      </c>
      <c r="M354" s="30" t="s">
        <v>639</v>
      </c>
      <c r="N354" s="30">
        <v>1</v>
      </c>
      <c r="O354" s="30">
        <v>262.44</v>
      </c>
      <c r="P354" s="108">
        <f t="shared" si="16"/>
        <v>262.44</v>
      </c>
      <c r="R354" s="29"/>
      <c r="S354" s="31"/>
      <c r="T354" s="29"/>
      <c r="V354" s="30" t="s">
        <v>989</v>
      </c>
      <c r="X354" s="30" t="s">
        <v>1266</v>
      </c>
    </row>
    <row r="355" spans="1:25" s="30" customFormat="1" x14ac:dyDescent="0.25">
      <c r="A355" s="28">
        <v>340</v>
      </c>
      <c r="B355" s="29">
        <v>45370</v>
      </c>
      <c r="C355" s="29">
        <v>45370</v>
      </c>
      <c r="D355" s="30" t="s">
        <v>1271</v>
      </c>
      <c r="E355" s="30" t="s">
        <v>1272</v>
      </c>
      <c r="F355" s="30" t="s">
        <v>615</v>
      </c>
      <c r="G355" s="80">
        <f t="shared" si="17"/>
        <v>45286</v>
      </c>
      <c r="H355" s="15">
        <v>6641270205</v>
      </c>
      <c r="J355" s="30" t="s">
        <v>1273</v>
      </c>
      <c r="M355" s="30" t="s">
        <v>611</v>
      </c>
      <c r="N355" s="30">
        <v>1</v>
      </c>
      <c r="O355" s="30">
        <v>262.44</v>
      </c>
      <c r="P355" s="108">
        <f t="shared" si="16"/>
        <v>262.44</v>
      </c>
      <c r="R355" s="29"/>
      <c r="S355" s="31"/>
      <c r="T355" s="29"/>
      <c r="V355" s="30" t="s">
        <v>989</v>
      </c>
      <c r="X355" s="30" t="s">
        <v>1266</v>
      </c>
    </row>
    <row r="356" spans="1:25" s="30" customFormat="1" x14ac:dyDescent="0.25">
      <c r="A356" s="28">
        <v>341</v>
      </c>
      <c r="B356" s="29">
        <v>45370</v>
      </c>
      <c r="C356" s="29">
        <v>45370</v>
      </c>
      <c r="D356" s="30" t="s">
        <v>219</v>
      </c>
      <c r="E356" s="30" t="s">
        <v>1274</v>
      </c>
      <c r="F356" s="30" t="s">
        <v>1242</v>
      </c>
      <c r="G356" s="80">
        <f t="shared" si="17"/>
        <v>45348</v>
      </c>
      <c r="H356" s="15">
        <v>4098429090</v>
      </c>
      <c r="J356" s="127" t="s">
        <v>1275</v>
      </c>
      <c r="K356" s="30" t="s">
        <v>1244</v>
      </c>
      <c r="M356" s="30" t="s">
        <v>610</v>
      </c>
      <c r="N356" s="116">
        <v>1</v>
      </c>
      <c r="O356" s="30">
        <v>350</v>
      </c>
      <c r="P356" s="108">
        <f t="shared" si="16"/>
        <v>360.5</v>
      </c>
      <c r="Q356" s="142">
        <v>10.5</v>
      </c>
      <c r="R356" s="29"/>
      <c r="S356" s="31"/>
      <c r="T356" s="29"/>
      <c r="V356" s="30" t="s">
        <v>683</v>
      </c>
      <c r="Y356" s="30" t="s">
        <v>889</v>
      </c>
    </row>
    <row r="357" spans="1:25" s="25" customFormat="1" x14ac:dyDescent="0.25">
      <c r="A357" s="23">
        <v>342</v>
      </c>
      <c r="B357" s="24">
        <v>45370</v>
      </c>
      <c r="C357" s="24">
        <v>45370</v>
      </c>
      <c r="D357" s="25" t="s">
        <v>620</v>
      </c>
      <c r="E357" s="25" t="s">
        <v>621</v>
      </c>
      <c r="F357" s="25" t="s">
        <v>622</v>
      </c>
      <c r="G357" s="79" t="str">
        <f t="shared" si="17"/>
        <v>Malaysia</v>
      </c>
      <c r="H357" s="14" t="s">
        <v>725</v>
      </c>
      <c r="J357" s="19" t="s">
        <v>623</v>
      </c>
      <c r="K357" s="25" t="s">
        <v>624</v>
      </c>
      <c r="L357" s="25" t="s">
        <v>624</v>
      </c>
      <c r="M357" s="25" t="s">
        <v>625</v>
      </c>
      <c r="N357" s="25">
        <v>5</v>
      </c>
      <c r="O357" s="25">
        <v>180.65</v>
      </c>
      <c r="P357" s="106">
        <f t="shared" si="16"/>
        <v>903.25</v>
      </c>
      <c r="R357" s="24">
        <v>45373</v>
      </c>
      <c r="S357" s="26" t="s">
        <v>1276</v>
      </c>
      <c r="T357" s="24">
        <v>45399</v>
      </c>
      <c r="U357" s="25">
        <v>5</v>
      </c>
      <c r="V357" s="25" t="s">
        <v>924</v>
      </c>
      <c r="Y357" s="25" t="s">
        <v>925</v>
      </c>
    </row>
    <row r="358" spans="1:25" s="25" customFormat="1" x14ac:dyDescent="0.25">
      <c r="A358" s="23">
        <v>343</v>
      </c>
      <c r="B358" s="24">
        <v>45370</v>
      </c>
      <c r="C358" s="24">
        <v>45370</v>
      </c>
      <c r="D358" s="25" t="s">
        <v>620</v>
      </c>
      <c r="E358" s="25" t="s">
        <v>621</v>
      </c>
      <c r="F358" s="25" t="s">
        <v>622</v>
      </c>
      <c r="G358" s="79" t="str">
        <f t="shared" si="17"/>
        <v>Malaysia</v>
      </c>
      <c r="H358" s="14" t="s">
        <v>725</v>
      </c>
      <c r="J358" s="19" t="s">
        <v>623</v>
      </c>
      <c r="K358" s="25" t="s">
        <v>624</v>
      </c>
      <c r="L358" s="25" t="s">
        <v>624</v>
      </c>
      <c r="M358" s="25" t="s">
        <v>626</v>
      </c>
      <c r="N358" s="25">
        <v>5</v>
      </c>
      <c r="O358" s="25">
        <v>180.65</v>
      </c>
      <c r="P358" s="106">
        <f t="shared" si="16"/>
        <v>943.25</v>
      </c>
      <c r="Q358" s="25">
        <v>40</v>
      </c>
      <c r="R358" s="24">
        <v>45373</v>
      </c>
      <c r="S358" s="26" t="s">
        <v>1276</v>
      </c>
      <c r="T358" s="24">
        <v>45399</v>
      </c>
      <c r="U358" s="25">
        <v>5</v>
      </c>
      <c r="V358" s="25" t="s">
        <v>924</v>
      </c>
      <c r="Y358" s="25" t="s">
        <v>925</v>
      </c>
    </row>
    <row r="359" spans="1:25" s="25" customFormat="1" x14ac:dyDescent="0.25">
      <c r="A359" s="23">
        <v>344</v>
      </c>
      <c r="B359" s="24">
        <v>45373</v>
      </c>
      <c r="C359" s="24">
        <v>45373</v>
      </c>
      <c r="D359" s="25" t="s">
        <v>1277</v>
      </c>
      <c r="E359" s="25" t="s">
        <v>1278</v>
      </c>
      <c r="F359" s="25" t="s">
        <v>1076</v>
      </c>
      <c r="G359" s="79">
        <f t="shared" si="17"/>
        <v>45376</v>
      </c>
      <c r="H359" s="14">
        <v>3462014184</v>
      </c>
      <c r="J359" s="25" t="s">
        <v>1279</v>
      </c>
      <c r="K359" s="25" t="s">
        <v>1078</v>
      </c>
      <c r="L359" s="25" t="s">
        <v>144</v>
      </c>
      <c r="M359" s="25" t="s">
        <v>611</v>
      </c>
      <c r="N359" s="25">
        <v>1</v>
      </c>
      <c r="O359" s="25">
        <v>262.44</v>
      </c>
      <c r="P359" s="106">
        <f t="shared" si="16"/>
        <v>263.44</v>
      </c>
      <c r="Q359" s="25">
        <v>1</v>
      </c>
      <c r="R359" s="24">
        <v>45376</v>
      </c>
      <c r="S359" s="26" t="s">
        <v>1280</v>
      </c>
      <c r="T359" s="24">
        <v>45380</v>
      </c>
      <c r="U359" s="25">
        <v>1</v>
      </c>
      <c r="V359" s="25" t="s">
        <v>1041</v>
      </c>
      <c r="X359" s="25" t="s">
        <v>1079</v>
      </c>
    </row>
    <row r="360" spans="1:25" s="25" customFormat="1" x14ac:dyDescent="0.25">
      <c r="A360" s="23">
        <v>345</v>
      </c>
      <c r="B360" s="24">
        <v>45373</v>
      </c>
      <c r="C360" s="24">
        <v>45373</v>
      </c>
      <c r="D360" s="25" t="s">
        <v>1277</v>
      </c>
      <c r="E360" s="25" t="s">
        <v>1278</v>
      </c>
      <c r="F360" s="25" t="s">
        <v>1076</v>
      </c>
      <c r="G360" s="79">
        <f t="shared" si="17"/>
        <v>45376</v>
      </c>
      <c r="H360" s="14">
        <v>3462014184</v>
      </c>
      <c r="J360" s="25" t="s">
        <v>1279</v>
      </c>
      <c r="K360" s="25" t="s">
        <v>1078</v>
      </c>
      <c r="L360" s="25" t="s">
        <v>144</v>
      </c>
      <c r="M360" s="25" t="s">
        <v>611</v>
      </c>
      <c r="N360" s="25">
        <v>6</v>
      </c>
      <c r="O360" s="25">
        <v>200.62</v>
      </c>
      <c r="P360" s="106">
        <f t="shared" si="16"/>
        <v>1209.72</v>
      </c>
      <c r="Q360" s="25">
        <v>6</v>
      </c>
      <c r="R360" s="24">
        <v>45376</v>
      </c>
      <c r="S360" s="26" t="s">
        <v>1280</v>
      </c>
      <c r="T360" s="24">
        <v>45380</v>
      </c>
      <c r="U360" s="25">
        <v>6</v>
      </c>
      <c r="V360" s="25" t="s">
        <v>1041</v>
      </c>
      <c r="X360" s="25" t="s">
        <v>1079</v>
      </c>
    </row>
    <row r="361" spans="1:25" s="25" customFormat="1" x14ac:dyDescent="0.25">
      <c r="A361" s="23">
        <v>346</v>
      </c>
      <c r="B361" s="24">
        <v>45376</v>
      </c>
      <c r="C361" s="24">
        <v>45376</v>
      </c>
      <c r="D361" s="25" t="s">
        <v>163</v>
      </c>
      <c r="E361" s="25" t="s">
        <v>1177</v>
      </c>
      <c r="F361" s="25" t="s">
        <v>667</v>
      </c>
      <c r="G361" s="79">
        <f t="shared" si="17"/>
        <v>45310</v>
      </c>
      <c r="H361" s="266">
        <v>4092423351</v>
      </c>
      <c r="J361" s="19" t="s">
        <v>668</v>
      </c>
      <c r="K361" s="25" t="s">
        <v>669</v>
      </c>
      <c r="L361" s="25" t="s">
        <v>144</v>
      </c>
      <c r="M361" s="25" t="s">
        <v>610</v>
      </c>
      <c r="N361" s="25">
        <v>6</v>
      </c>
      <c r="O361" s="25">
        <v>205.29</v>
      </c>
      <c r="P361" s="106">
        <f t="shared" si="16"/>
        <v>1231.74</v>
      </c>
      <c r="R361" s="24">
        <v>45373</v>
      </c>
      <c r="S361" s="26" t="s">
        <v>1232</v>
      </c>
      <c r="T361" s="24">
        <v>45397</v>
      </c>
      <c r="U361" s="25">
        <v>6</v>
      </c>
      <c r="V361" s="25" t="s">
        <v>803</v>
      </c>
    </row>
    <row r="362" spans="1:25" s="25" customFormat="1" x14ac:dyDescent="0.25">
      <c r="A362" s="23">
        <v>347</v>
      </c>
      <c r="B362" s="24">
        <v>45376</v>
      </c>
      <c r="C362" s="24">
        <v>45376</v>
      </c>
      <c r="D362" s="25" t="s">
        <v>163</v>
      </c>
      <c r="E362" s="25" t="s">
        <v>1177</v>
      </c>
      <c r="F362" s="25" t="s">
        <v>667</v>
      </c>
      <c r="G362" s="79">
        <f t="shared" si="17"/>
        <v>45310</v>
      </c>
      <c r="H362" s="266">
        <v>4092423351</v>
      </c>
      <c r="J362" s="19" t="s">
        <v>668</v>
      </c>
      <c r="K362" s="25" t="s">
        <v>669</v>
      </c>
      <c r="L362" s="25" t="s">
        <v>144</v>
      </c>
      <c r="M362" s="25" t="s">
        <v>610</v>
      </c>
      <c r="N362" s="25">
        <v>6</v>
      </c>
      <c r="O362" s="25">
        <v>205.29</v>
      </c>
      <c r="P362" s="106">
        <f t="shared" si="16"/>
        <v>1231.74</v>
      </c>
      <c r="R362" s="24">
        <v>45373</v>
      </c>
      <c r="S362" s="26" t="s">
        <v>1232</v>
      </c>
      <c r="T362" s="24">
        <v>45397</v>
      </c>
      <c r="U362" s="25">
        <v>6</v>
      </c>
      <c r="V362" s="25" t="s">
        <v>803</v>
      </c>
    </row>
    <row r="363" spans="1:25" s="25" customFormat="1" x14ac:dyDescent="0.25">
      <c r="A363" s="23">
        <v>348</v>
      </c>
      <c r="B363" s="24">
        <v>45377</v>
      </c>
      <c r="C363" s="24">
        <v>45377</v>
      </c>
      <c r="D363" s="122" t="s">
        <v>1180</v>
      </c>
      <c r="E363" s="25" t="s">
        <v>1181</v>
      </c>
      <c r="F363" s="25" t="s">
        <v>615</v>
      </c>
      <c r="G363" s="79">
        <f t="shared" si="17"/>
        <v>45286</v>
      </c>
      <c r="H363" s="14">
        <v>6641270205</v>
      </c>
      <c r="J363" s="19" t="s">
        <v>1281</v>
      </c>
      <c r="K363" s="25" t="s">
        <v>1182</v>
      </c>
      <c r="L363" s="25" t="s">
        <v>174</v>
      </c>
      <c r="M363" s="25" t="s">
        <v>610</v>
      </c>
      <c r="N363" s="25">
        <v>2</v>
      </c>
      <c r="O363" s="25">
        <v>205.29</v>
      </c>
      <c r="P363" s="106">
        <f t="shared" si="16"/>
        <v>615.87</v>
      </c>
      <c r="Q363" s="25">
        <v>205.29</v>
      </c>
      <c r="R363" s="24">
        <v>45345</v>
      </c>
      <c r="S363" s="26">
        <v>3011414690</v>
      </c>
      <c r="T363" s="24">
        <v>45393</v>
      </c>
      <c r="U363" s="25">
        <v>2</v>
      </c>
      <c r="V363" s="25" t="s">
        <v>989</v>
      </c>
      <c r="X363" s="25" t="s">
        <v>1282</v>
      </c>
    </row>
    <row r="364" spans="1:25" s="25" customFormat="1" x14ac:dyDescent="0.25">
      <c r="A364" s="23">
        <v>349</v>
      </c>
      <c r="B364" s="24">
        <v>45378</v>
      </c>
      <c r="C364" s="24">
        <v>45378</v>
      </c>
      <c r="D364" s="25" t="s">
        <v>1145</v>
      </c>
      <c r="E364" s="25" t="s">
        <v>1146</v>
      </c>
      <c r="F364" s="25" t="s">
        <v>1147</v>
      </c>
      <c r="G364" s="79">
        <f t="shared" si="17"/>
        <v>45278</v>
      </c>
      <c r="H364" s="266">
        <v>3252199145</v>
      </c>
      <c r="J364" s="25" t="s">
        <v>1148</v>
      </c>
      <c r="K364" s="25" t="s">
        <v>505</v>
      </c>
      <c r="L364" s="25" t="s">
        <v>144</v>
      </c>
      <c r="M364" s="25" t="s">
        <v>611</v>
      </c>
      <c r="N364" s="25">
        <v>2</v>
      </c>
      <c r="O364" s="25">
        <v>205.29</v>
      </c>
      <c r="P364" s="106">
        <f t="shared" si="16"/>
        <v>450.58</v>
      </c>
      <c r="Q364" s="25">
        <v>40</v>
      </c>
      <c r="R364" s="24">
        <v>45379</v>
      </c>
      <c r="S364" s="26" t="s">
        <v>1283</v>
      </c>
      <c r="T364" s="24">
        <v>45401</v>
      </c>
      <c r="U364" s="25">
        <v>2</v>
      </c>
      <c r="V364" s="25" t="s">
        <v>1034</v>
      </c>
    </row>
    <row r="365" spans="1:25" s="25" customFormat="1" x14ac:dyDescent="0.25">
      <c r="A365" s="23">
        <v>350</v>
      </c>
      <c r="B365" s="24">
        <v>45379</v>
      </c>
      <c r="C365" s="24">
        <v>45379</v>
      </c>
      <c r="D365" s="25" t="s">
        <v>407</v>
      </c>
      <c r="E365" s="25" t="s">
        <v>368</v>
      </c>
      <c r="F365" s="25" t="s">
        <v>1284</v>
      </c>
      <c r="G365" s="79">
        <f t="shared" si="17"/>
        <v>45387</v>
      </c>
      <c r="H365" s="266">
        <v>3257638807</v>
      </c>
      <c r="J365" s="19" t="s">
        <v>1285</v>
      </c>
      <c r="K365" s="25" t="s">
        <v>208</v>
      </c>
      <c r="L365" s="25" t="s">
        <v>144</v>
      </c>
      <c r="M365" s="25" t="s">
        <v>610</v>
      </c>
      <c r="N365" s="25">
        <v>2</v>
      </c>
      <c r="O365" s="25">
        <v>205.29</v>
      </c>
      <c r="P365" s="106">
        <f t="shared" si="16"/>
        <v>410.58</v>
      </c>
      <c r="R365" s="24">
        <v>45387</v>
      </c>
      <c r="S365" s="26" t="s">
        <v>1286</v>
      </c>
      <c r="T365" s="24">
        <v>45408</v>
      </c>
      <c r="U365" s="25">
        <v>2</v>
      </c>
      <c r="V365" s="25" t="s">
        <v>1041</v>
      </c>
      <c r="W365" s="25" t="s">
        <v>1164</v>
      </c>
      <c r="X365" s="25" t="s">
        <v>1287</v>
      </c>
    </row>
    <row r="366" spans="1:25" s="30" customFormat="1" ht="15.75" x14ac:dyDescent="0.25">
      <c r="A366" s="28">
        <v>351</v>
      </c>
      <c r="B366" s="29">
        <v>45379</v>
      </c>
      <c r="C366" s="29">
        <v>45379</v>
      </c>
      <c r="D366" s="240" t="s">
        <v>1288</v>
      </c>
      <c r="F366" s="30" t="s">
        <v>1289</v>
      </c>
      <c r="G366" s="80" t="str">
        <f t="shared" si="17"/>
        <v>NEED FORM</v>
      </c>
      <c r="H366" s="264"/>
      <c r="J366" s="21" t="s">
        <v>1290</v>
      </c>
      <c r="M366" s="30" t="s">
        <v>610</v>
      </c>
      <c r="N366" s="30">
        <v>2</v>
      </c>
      <c r="O366" s="30">
        <v>205.29</v>
      </c>
      <c r="P366" s="107">
        <f t="shared" si="16"/>
        <v>410.58</v>
      </c>
      <c r="R366" s="29"/>
      <c r="S366" s="31"/>
      <c r="T366" s="29"/>
    </row>
    <row r="367" spans="1:25" s="30" customFormat="1" x14ac:dyDescent="0.25">
      <c r="A367" s="28">
        <v>352</v>
      </c>
      <c r="B367" s="29">
        <v>45379</v>
      </c>
      <c r="C367" s="29">
        <v>45379</v>
      </c>
      <c r="D367" s="30" t="s">
        <v>87</v>
      </c>
      <c r="E367" s="30" t="s">
        <v>128</v>
      </c>
      <c r="F367" s="30" t="s">
        <v>1251</v>
      </c>
      <c r="G367" s="80">
        <f t="shared" si="17"/>
        <v>45411</v>
      </c>
      <c r="H367" s="264">
        <v>6096518511</v>
      </c>
      <c r="J367" s="134" t="s">
        <v>1252</v>
      </c>
      <c r="K367" s="30" t="s">
        <v>297</v>
      </c>
      <c r="L367" s="30" t="s">
        <v>96</v>
      </c>
      <c r="M367" s="30" t="s">
        <v>610</v>
      </c>
      <c r="N367" s="30">
        <v>2</v>
      </c>
      <c r="O367" s="30">
        <v>205.29</v>
      </c>
      <c r="P367" s="107">
        <f t="shared" si="16"/>
        <v>410.58</v>
      </c>
      <c r="R367" s="29"/>
      <c r="S367" s="31"/>
      <c r="T367" s="29"/>
    </row>
    <row r="368" spans="1:25" s="25" customFormat="1" x14ac:dyDescent="0.25">
      <c r="A368" s="23">
        <v>353</v>
      </c>
      <c r="B368" s="24">
        <v>45383</v>
      </c>
      <c r="C368" s="24">
        <v>45383</v>
      </c>
      <c r="D368" s="25" t="s">
        <v>163</v>
      </c>
      <c r="E368" s="25" t="s">
        <v>1177</v>
      </c>
      <c r="F368" s="25" t="s">
        <v>667</v>
      </c>
      <c r="G368" s="79">
        <f t="shared" si="17"/>
        <v>45310</v>
      </c>
      <c r="H368" s="266">
        <v>4092423351</v>
      </c>
      <c r="J368" s="19" t="s">
        <v>668</v>
      </c>
      <c r="K368" s="25" t="s">
        <v>669</v>
      </c>
      <c r="L368" s="25" t="s">
        <v>144</v>
      </c>
      <c r="M368" s="25" t="s">
        <v>610</v>
      </c>
      <c r="N368" s="25">
        <v>2</v>
      </c>
      <c r="O368" s="241">
        <f>205.29*1.03</f>
        <v>211.4487</v>
      </c>
      <c r="P368" s="106">
        <f t="shared" si="16"/>
        <v>422.8974</v>
      </c>
      <c r="R368" s="24">
        <v>45403</v>
      </c>
      <c r="S368" s="258" t="s">
        <v>1291</v>
      </c>
      <c r="T368" s="24">
        <v>45404</v>
      </c>
      <c r="U368" s="25">
        <v>2</v>
      </c>
      <c r="V368" s="25" t="s">
        <v>803</v>
      </c>
      <c r="W368" s="25" t="s">
        <v>1292</v>
      </c>
    </row>
    <row r="369" spans="1:25" s="25" customFormat="1" x14ac:dyDescent="0.25">
      <c r="A369" s="23">
        <v>354</v>
      </c>
      <c r="B369" s="24">
        <v>45384</v>
      </c>
      <c r="C369" s="24">
        <v>45384</v>
      </c>
      <c r="D369" s="25" t="s">
        <v>113</v>
      </c>
      <c r="E369" s="25" t="s">
        <v>762</v>
      </c>
      <c r="F369" s="25" t="s">
        <v>763</v>
      </c>
      <c r="G369" s="79">
        <f t="shared" si="17"/>
        <v>45384</v>
      </c>
      <c r="H369" s="14">
        <v>4402348566</v>
      </c>
      <c r="I369" s="25" t="s">
        <v>764</v>
      </c>
      <c r="J369" s="25" t="s">
        <v>765</v>
      </c>
      <c r="K369" s="25" t="s">
        <v>200</v>
      </c>
      <c r="L369" s="25" t="s">
        <v>766</v>
      </c>
      <c r="M369" s="25" t="s">
        <v>610</v>
      </c>
      <c r="N369" s="25">
        <v>3</v>
      </c>
      <c r="O369" s="25">
        <v>205.29</v>
      </c>
      <c r="P369" s="106">
        <f t="shared" ref="P369:P400" si="18">N369*O369+Q369</f>
        <v>615.87</v>
      </c>
      <c r="R369" s="24">
        <v>45384</v>
      </c>
      <c r="S369" s="26" t="s">
        <v>1293</v>
      </c>
      <c r="T369" s="24">
        <v>45385</v>
      </c>
      <c r="U369" s="25">
        <v>3</v>
      </c>
      <c r="V369" s="25" t="s">
        <v>803</v>
      </c>
    </row>
    <row r="370" spans="1:25" s="25" customFormat="1" x14ac:dyDescent="0.25">
      <c r="A370" s="23">
        <v>355</v>
      </c>
      <c r="B370" s="24">
        <v>45384</v>
      </c>
      <c r="C370" s="24">
        <v>45384</v>
      </c>
      <c r="D370" s="25" t="s">
        <v>113</v>
      </c>
      <c r="E370" s="25" t="s">
        <v>762</v>
      </c>
      <c r="F370" s="25" t="s">
        <v>763</v>
      </c>
      <c r="G370" s="79">
        <f t="shared" si="17"/>
        <v>45384</v>
      </c>
      <c r="H370" s="14">
        <v>4402348566</v>
      </c>
      <c r="I370" s="25" t="s">
        <v>764</v>
      </c>
      <c r="J370" s="25" t="s">
        <v>765</v>
      </c>
      <c r="K370" s="25" t="s">
        <v>200</v>
      </c>
      <c r="L370" s="25" t="s">
        <v>766</v>
      </c>
      <c r="M370" s="25" t="s">
        <v>611</v>
      </c>
      <c r="N370" s="25">
        <v>3</v>
      </c>
      <c r="O370" s="25">
        <v>205.29</v>
      </c>
      <c r="P370" s="106">
        <f t="shared" si="18"/>
        <v>615.87</v>
      </c>
      <c r="R370" s="24">
        <v>45384</v>
      </c>
      <c r="S370" s="26" t="s">
        <v>1293</v>
      </c>
      <c r="T370" s="24">
        <v>45385</v>
      </c>
      <c r="U370" s="25">
        <v>3</v>
      </c>
      <c r="V370" s="25" t="s">
        <v>803</v>
      </c>
    </row>
    <row r="371" spans="1:25" s="25" customFormat="1" x14ac:dyDescent="0.25">
      <c r="A371" s="23">
        <v>356</v>
      </c>
      <c r="B371" s="24">
        <v>45385</v>
      </c>
      <c r="C371" s="24">
        <v>45385</v>
      </c>
      <c r="D371" s="25" t="s">
        <v>476</v>
      </c>
      <c r="E371" s="25" t="s">
        <v>784</v>
      </c>
      <c r="F371" s="25" t="s">
        <v>631</v>
      </c>
      <c r="G371" s="79">
        <f t="shared" si="17"/>
        <v>44927</v>
      </c>
      <c r="H371" s="14">
        <v>4323336181</v>
      </c>
      <c r="J371" s="19" t="s">
        <v>785</v>
      </c>
      <c r="K371" s="25" t="s">
        <v>633</v>
      </c>
      <c r="L371" s="25" t="s">
        <v>144</v>
      </c>
      <c r="M371" s="25" t="s">
        <v>610</v>
      </c>
      <c r="N371" s="25">
        <v>50</v>
      </c>
      <c r="O371" s="25">
        <v>164.87</v>
      </c>
      <c r="P371" s="106">
        <f t="shared" si="18"/>
        <v>8243.5</v>
      </c>
      <c r="R371" s="24">
        <v>45385</v>
      </c>
      <c r="S371" s="26" t="s">
        <v>1294</v>
      </c>
      <c r="T371" s="24">
        <v>45406</v>
      </c>
      <c r="U371" s="25">
        <v>50</v>
      </c>
      <c r="V371" s="25" t="s">
        <v>683</v>
      </c>
    </row>
    <row r="372" spans="1:25" s="25" customFormat="1" x14ac:dyDescent="0.25">
      <c r="A372" s="23">
        <v>357</v>
      </c>
      <c r="B372" s="24">
        <v>45385</v>
      </c>
      <c r="C372" s="24">
        <v>45385</v>
      </c>
      <c r="D372" s="25" t="s">
        <v>476</v>
      </c>
      <c r="E372" s="25" t="s">
        <v>784</v>
      </c>
      <c r="F372" s="25" t="s">
        <v>631</v>
      </c>
      <c r="G372" s="79">
        <f t="shared" si="17"/>
        <v>44927</v>
      </c>
      <c r="H372" s="14">
        <v>4323336181</v>
      </c>
      <c r="J372" s="19" t="s">
        <v>785</v>
      </c>
      <c r="K372" s="25" t="s">
        <v>633</v>
      </c>
      <c r="L372" s="25" t="s">
        <v>144</v>
      </c>
      <c r="M372" s="25" t="s">
        <v>611</v>
      </c>
      <c r="N372" s="25">
        <v>50</v>
      </c>
      <c r="O372" s="115">
        <v>183.18</v>
      </c>
      <c r="P372" s="106">
        <f t="shared" si="18"/>
        <v>9159</v>
      </c>
      <c r="R372" s="24">
        <v>45385</v>
      </c>
      <c r="S372" s="26" t="s">
        <v>1294</v>
      </c>
      <c r="T372" s="24">
        <v>45406</v>
      </c>
      <c r="U372" s="25">
        <v>50</v>
      </c>
      <c r="V372" s="25" t="s">
        <v>683</v>
      </c>
    </row>
    <row r="373" spans="1:25" s="25" customFormat="1" x14ac:dyDescent="0.25">
      <c r="A373" s="23">
        <v>358</v>
      </c>
      <c r="B373" s="24">
        <v>45390</v>
      </c>
      <c r="C373" s="24">
        <v>45390</v>
      </c>
      <c r="D373" s="25" t="s">
        <v>183</v>
      </c>
      <c r="E373" s="25" t="s">
        <v>901</v>
      </c>
      <c r="F373" s="25" t="s">
        <v>361</v>
      </c>
      <c r="G373" s="79">
        <f t="shared" si="17"/>
        <v>45336</v>
      </c>
      <c r="H373" s="14">
        <v>9794912987</v>
      </c>
      <c r="J373" s="125" t="s">
        <v>1210</v>
      </c>
      <c r="K373" s="25" t="s">
        <v>1186</v>
      </c>
      <c r="L373" s="25" t="s">
        <v>144</v>
      </c>
      <c r="M373" s="25" t="s">
        <v>610</v>
      </c>
      <c r="N373" s="25">
        <v>5</v>
      </c>
      <c r="O373" s="25">
        <v>200.62</v>
      </c>
      <c r="P373" s="106">
        <f t="shared" si="18"/>
        <v>1003.1</v>
      </c>
      <c r="R373" s="24">
        <v>45393</v>
      </c>
      <c r="S373" s="26" t="s">
        <v>1295</v>
      </c>
      <c r="T373" s="24">
        <v>45414</v>
      </c>
      <c r="U373" s="25">
        <v>1</v>
      </c>
      <c r="V373" s="25" t="s">
        <v>683</v>
      </c>
      <c r="X373" s="25" t="s">
        <v>1238</v>
      </c>
    </row>
    <row r="374" spans="1:25" s="25" customFormat="1" x14ac:dyDescent="0.25">
      <c r="A374" s="23">
        <v>359</v>
      </c>
      <c r="B374" s="24">
        <v>45391</v>
      </c>
      <c r="C374" s="24">
        <v>45391</v>
      </c>
      <c r="D374" s="25" t="s">
        <v>183</v>
      </c>
      <c r="E374" s="25" t="s">
        <v>901</v>
      </c>
      <c r="F374" s="25" t="s">
        <v>361</v>
      </c>
      <c r="G374" s="79">
        <f t="shared" si="17"/>
        <v>45336</v>
      </c>
      <c r="H374" s="14">
        <v>9794912987</v>
      </c>
      <c r="J374" s="125" t="s">
        <v>1210</v>
      </c>
      <c r="K374" s="25" t="s">
        <v>1186</v>
      </c>
      <c r="L374" s="25" t="s">
        <v>144</v>
      </c>
      <c r="M374" s="25" t="s">
        <v>639</v>
      </c>
      <c r="N374" s="25">
        <v>1</v>
      </c>
      <c r="O374" s="25">
        <v>262.44</v>
      </c>
      <c r="P374" s="106">
        <f t="shared" si="18"/>
        <v>262.44</v>
      </c>
      <c r="R374" s="24">
        <v>45393</v>
      </c>
      <c r="S374" s="26" t="s">
        <v>1296</v>
      </c>
      <c r="T374" s="24">
        <v>45414</v>
      </c>
      <c r="U374" s="25">
        <v>1</v>
      </c>
      <c r="V374" s="25" t="s">
        <v>683</v>
      </c>
      <c r="X374" s="25" t="s">
        <v>1238</v>
      </c>
    </row>
    <row r="375" spans="1:25" s="25" customFormat="1" x14ac:dyDescent="0.25">
      <c r="A375" s="23">
        <v>360</v>
      </c>
      <c r="B375" s="24">
        <v>45391</v>
      </c>
      <c r="C375" s="24">
        <v>45391</v>
      </c>
      <c r="D375" s="25" t="s">
        <v>183</v>
      </c>
      <c r="E375" s="25" t="s">
        <v>901</v>
      </c>
      <c r="F375" s="25" t="s">
        <v>361</v>
      </c>
      <c r="G375" s="79">
        <f t="shared" ref="G375:G406" si="19">_xlfn.IFNA(VLOOKUP(F375,TAX,2,FALSE), "NEED FORM")</f>
        <v>45336</v>
      </c>
      <c r="H375" s="14">
        <v>9794912987</v>
      </c>
      <c r="J375" s="125" t="s">
        <v>1210</v>
      </c>
      <c r="K375" s="25" t="s">
        <v>1186</v>
      </c>
      <c r="L375" s="25" t="s">
        <v>144</v>
      </c>
      <c r="M375" s="25" t="s">
        <v>608</v>
      </c>
      <c r="N375" s="25">
        <v>1</v>
      </c>
      <c r="O375" s="25">
        <v>262.44</v>
      </c>
      <c r="P375" s="106">
        <f t="shared" si="18"/>
        <v>262.44</v>
      </c>
      <c r="R375" s="24">
        <v>45393</v>
      </c>
      <c r="S375" s="26" t="s">
        <v>1296</v>
      </c>
      <c r="T375" s="24">
        <v>45414</v>
      </c>
      <c r="U375" s="25">
        <v>1</v>
      </c>
      <c r="V375" s="25" t="s">
        <v>683</v>
      </c>
      <c r="X375" s="25" t="s">
        <v>1238</v>
      </c>
    </row>
    <row r="376" spans="1:25" s="25" customFormat="1" x14ac:dyDescent="0.25">
      <c r="A376" s="23">
        <v>361</v>
      </c>
      <c r="B376" s="24">
        <v>45391</v>
      </c>
      <c r="C376" s="24">
        <v>45391</v>
      </c>
      <c r="D376" s="25" t="s">
        <v>183</v>
      </c>
      <c r="E376" s="25" t="s">
        <v>901</v>
      </c>
      <c r="F376" s="25" t="s">
        <v>361</v>
      </c>
      <c r="G376" s="79">
        <f t="shared" si="19"/>
        <v>45336</v>
      </c>
      <c r="H376" s="14">
        <v>9794912987</v>
      </c>
      <c r="J376" s="125" t="s">
        <v>1210</v>
      </c>
      <c r="K376" s="25" t="s">
        <v>1186</v>
      </c>
      <c r="L376" s="25" t="s">
        <v>144</v>
      </c>
      <c r="M376" s="25" t="s">
        <v>610</v>
      </c>
      <c r="N376" s="25">
        <v>3</v>
      </c>
      <c r="O376" s="25">
        <v>205.29</v>
      </c>
      <c r="P376" s="106">
        <f t="shared" si="18"/>
        <v>615.87</v>
      </c>
      <c r="R376" s="24">
        <v>45393</v>
      </c>
      <c r="S376" s="26" t="s">
        <v>1296</v>
      </c>
      <c r="T376" s="24">
        <v>45414</v>
      </c>
      <c r="U376" s="25">
        <v>3</v>
      </c>
      <c r="V376" s="25" t="s">
        <v>683</v>
      </c>
      <c r="X376" s="25" t="s">
        <v>1238</v>
      </c>
    </row>
    <row r="377" spans="1:25" s="25" customFormat="1" x14ac:dyDescent="0.25">
      <c r="A377" s="23">
        <v>362</v>
      </c>
      <c r="B377" s="24">
        <v>45391</v>
      </c>
      <c r="C377" s="24">
        <v>45391</v>
      </c>
      <c r="D377" s="25" t="s">
        <v>183</v>
      </c>
      <c r="E377" s="25" t="s">
        <v>901</v>
      </c>
      <c r="F377" s="25" t="s">
        <v>361</v>
      </c>
      <c r="G377" s="79">
        <f t="shared" si="19"/>
        <v>45336</v>
      </c>
      <c r="H377" s="14">
        <v>9794912987</v>
      </c>
      <c r="J377" s="125" t="s">
        <v>1210</v>
      </c>
      <c r="K377" s="25" t="s">
        <v>1186</v>
      </c>
      <c r="L377" s="25" t="s">
        <v>144</v>
      </c>
      <c r="M377" s="25" t="s">
        <v>611</v>
      </c>
      <c r="N377" s="25">
        <v>1</v>
      </c>
      <c r="O377" s="25">
        <v>262.44</v>
      </c>
      <c r="P377" s="106">
        <f t="shared" si="18"/>
        <v>262.44</v>
      </c>
      <c r="R377" s="24">
        <v>45393</v>
      </c>
      <c r="S377" s="26" t="s">
        <v>1296</v>
      </c>
      <c r="T377" s="24">
        <v>45414</v>
      </c>
      <c r="U377" s="25">
        <v>1</v>
      </c>
      <c r="V377" s="25" t="s">
        <v>683</v>
      </c>
      <c r="X377" s="25" t="s">
        <v>1238</v>
      </c>
    </row>
    <row r="378" spans="1:25" s="30" customFormat="1" x14ac:dyDescent="0.25">
      <c r="A378" s="28">
        <v>363</v>
      </c>
      <c r="B378" s="29">
        <v>45397</v>
      </c>
      <c r="C378" s="29">
        <v>45397</v>
      </c>
      <c r="D378" s="30" t="s">
        <v>334</v>
      </c>
      <c r="E378" s="30" t="s">
        <v>847</v>
      </c>
      <c r="F378" s="30" t="s">
        <v>361</v>
      </c>
      <c r="G378" s="80">
        <f t="shared" si="19"/>
        <v>45336</v>
      </c>
      <c r="H378" s="15">
        <v>5048358888</v>
      </c>
      <c r="J378" s="30" t="s">
        <v>848</v>
      </c>
      <c r="K378" s="30" t="s">
        <v>849</v>
      </c>
      <c r="L378" s="30" t="s">
        <v>850</v>
      </c>
      <c r="M378" s="30" t="s">
        <v>610</v>
      </c>
      <c r="N378" s="30">
        <v>32</v>
      </c>
      <c r="O378" s="30">
        <v>168.99</v>
      </c>
      <c r="P378" s="108">
        <f t="shared" si="18"/>
        <v>5407.68</v>
      </c>
      <c r="Q378" s="46"/>
      <c r="R378" s="29"/>
      <c r="S378" s="31"/>
      <c r="T378" s="29"/>
      <c r="V378" s="30" t="s">
        <v>683</v>
      </c>
      <c r="X378" s="30" t="s">
        <v>1238</v>
      </c>
      <c r="Y378" s="30" t="s">
        <v>852</v>
      </c>
    </row>
    <row r="379" spans="1:25" s="25" customFormat="1" x14ac:dyDescent="0.25">
      <c r="A379" s="23">
        <v>364</v>
      </c>
      <c r="B379" s="24">
        <v>45398</v>
      </c>
      <c r="C379" s="24">
        <v>45377</v>
      </c>
      <c r="D379" s="25" t="s">
        <v>1180</v>
      </c>
      <c r="E379" s="25" t="s">
        <v>1181</v>
      </c>
      <c r="F379" s="25" t="s">
        <v>615</v>
      </c>
      <c r="G379" s="79">
        <f t="shared" si="19"/>
        <v>45286</v>
      </c>
      <c r="H379" s="14">
        <v>6641270205</v>
      </c>
      <c r="J379" s="19" t="s">
        <v>1281</v>
      </c>
      <c r="K379" s="25" t="s">
        <v>1182</v>
      </c>
      <c r="L379" s="25" t="s">
        <v>174</v>
      </c>
      <c r="M379" s="25" t="s">
        <v>610</v>
      </c>
      <c r="N379" s="25">
        <v>2</v>
      </c>
      <c r="O379" s="25">
        <v>205.29</v>
      </c>
      <c r="P379" s="106">
        <f t="shared" si="18"/>
        <v>410.58</v>
      </c>
      <c r="R379" s="24">
        <v>45323</v>
      </c>
      <c r="S379" s="26">
        <v>3011378867</v>
      </c>
      <c r="T379" s="24">
        <v>45419</v>
      </c>
      <c r="U379" s="25">
        <v>2</v>
      </c>
      <c r="V379" s="25" t="s">
        <v>989</v>
      </c>
    </row>
    <row r="380" spans="1:25" s="25" customFormat="1" x14ac:dyDescent="0.25">
      <c r="A380" s="23">
        <v>365</v>
      </c>
      <c r="B380" s="24">
        <v>45398</v>
      </c>
      <c r="C380" s="24">
        <v>45377</v>
      </c>
      <c r="D380" s="25" t="s">
        <v>1180</v>
      </c>
      <c r="E380" s="25" t="s">
        <v>1181</v>
      </c>
      <c r="F380" s="25" t="s">
        <v>615</v>
      </c>
      <c r="G380" s="79">
        <f t="shared" si="19"/>
        <v>45286</v>
      </c>
      <c r="H380" s="14">
        <v>6641270205</v>
      </c>
      <c r="J380" s="19" t="s">
        <v>1281</v>
      </c>
      <c r="K380" s="25" t="s">
        <v>1182</v>
      </c>
      <c r="L380" s="25" t="s">
        <v>174</v>
      </c>
      <c r="M380" s="25" t="s">
        <v>610</v>
      </c>
      <c r="N380" s="25">
        <v>11</v>
      </c>
      <c r="O380" s="25">
        <v>195.96</v>
      </c>
      <c r="P380" s="106">
        <f t="shared" si="18"/>
        <v>2155.56</v>
      </c>
      <c r="R380" s="24">
        <v>45384</v>
      </c>
      <c r="S380" s="26">
        <v>3011483643</v>
      </c>
      <c r="T380" s="24">
        <v>45419</v>
      </c>
      <c r="U380" s="25">
        <v>11</v>
      </c>
      <c r="V380" s="25" t="s">
        <v>989</v>
      </c>
    </row>
    <row r="381" spans="1:25" s="25" customFormat="1" x14ac:dyDescent="0.25">
      <c r="A381" s="23">
        <v>366</v>
      </c>
      <c r="B381" s="24">
        <v>45398</v>
      </c>
      <c r="C381" s="24">
        <v>45377</v>
      </c>
      <c r="D381" s="25" t="s">
        <v>1180</v>
      </c>
      <c r="E381" s="25" t="s">
        <v>1181</v>
      </c>
      <c r="F381" s="25" t="s">
        <v>615</v>
      </c>
      <c r="G381" s="79">
        <f t="shared" si="19"/>
        <v>45286</v>
      </c>
      <c r="H381" s="14">
        <v>6641270205</v>
      </c>
      <c r="J381" s="19" t="s">
        <v>1281</v>
      </c>
      <c r="K381" s="25" t="s">
        <v>1182</v>
      </c>
      <c r="L381" s="25" t="s">
        <v>174</v>
      </c>
      <c r="M381" s="25" t="s">
        <v>611</v>
      </c>
      <c r="N381" s="25">
        <v>7</v>
      </c>
      <c r="O381" s="25">
        <v>200.62</v>
      </c>
      <c r="P381" s="106">
        <f t="shared" si="18"/>
        <v>1404.3400000000001</v>
      </c>
      <c r="R381" s="24">
        <v>45323</v>
      </c>
      <c r="S381" s="26">
        <v>3011465967</v>
      </c>
      <c r="T381" s="24">
        <v>45419</v>
      </c>
      <c r="U381" s="25">
        <v>7</v>
      </c>
      <c r="V381" s="25" t="s">
        <v>989</v>
      </c>
    </row>
    <row r="382" spans="1:25" s="30" customFormat="1" x14ac:dyDescent="0.25">
      <c r="A382" s="28">
        <v>367</v>
      </c>
      <c r="B382" s="29">
        <v>45398</v>
      </c>
      <c r="C382" s="29">
        <v>45398</v>
      </c>
      <c r="D382" s="30" t="s">
        <v>227</v>
      </c>
      <c r="E382" s="30" t="s">
        <v>1297</v>
      </c>
      <c r="F382" s="30" t="s">
        <v>957</v>
      </c>
      <c r="G382" s="80" t="str">
        <f t="shared" si="19"/>
        <v>Requested</v>
      </c>
      <c r="H382" s="264">
        <v>6096518511</v>
      </c>
      <c r="J382" s="134"/>
      <c r="K382" s="30" t="s">
        <v>297</v>
      </c>
      <c r="L382" s="30" t="s">
        <v>96</v>
      </c>
      <c r="M382" s="30" t="s">
        <v>610</v>
      </c>
      <c r="N382" s="30">
        <v>5</v>
      </c>
      <c r="O382" s="30">
        <v>200.62</v>
      </c>
      <c r="P382" s="107">
        <f t="shared" si="18"/>
        <v>1003.1</v>
      </c>
      <c r="R382" s="29"/>
      <c r="S382" s="31"/>
      <c r="T382" s="29"/>
      <c r="W382" s="30" t="s">
        <v>1164</v>
      </c>
    </row>
    <row r="383" spans="1:25" s="25" customFormat="1" x14ac:dyDescent="0.25">
      <c r="A383" s="23">
        <v>368</v>
      </c>
      <c r="B383" s="24">
        <v>45399</v>
      </c>
      <c r="C383" s="24">
        <v>45399</v>
      </c>
      <c r="D383" s="25" t="s">
        <v>87</v>
      </c>
      <c r="E383" s="25" t="s">
        <v>128</v>
      </c>
      <c r="F383" s="25" t="s">
        <v>1251</v>
      </c>
      <c r="G383" s="79">
        <f t="shared" si="19"/>
        <v>45411</v>
      </c>
      <c r="H383" s="14">
        <v>6096518511</v>
      </c>
      <c r="J383" s="243" t="s">
        <v>1252</v>
      </c>
      <c r="K383" s="25" t="s">
        <v>297</v>
      </c>
      <c r="L383" s="25" t="s">
        <v>96</v>
      </c>
      <c r="M383" s="25" t="s">
        <v>610</v>
      </c>
      <c r="N383" s="25">
        <v>2</v>
      </c>
      <c r="O383" s="25">
        <v>205.29</v>
      </c>
      <c r="P383" s="106">
        <f t="shared" si="18"/>
        <v>410.58</v>
      </c>
      <c r="R383" s="24">
        <v>45405</v>
      </c>
      <c r="S383" s="26">
        <v>20242089</v>
      </c>
      <c r="T383" s="24">
        <v>45427</v>
      </c>
      <c r="U383" s="25">
        <v>2</v>
      </c>
      <c r="V383" s="25" t="s">
        <v>1298</v>
      </c>
      <c r="X383" s="25" t="s">
        <v>1299</v>
      </c>
    </row>
    <row r="384" spans="1:25" s="25" customFormat="1" x14ac:dyDescent="0.25">
      <c r="A384" s="23">
        <v>369</v>
      </c>
      <c r="B384" s="24">
        <v>45405</v>
      </c>
      <c r="C384" s="24">
        <v>45405</v>
      </c>
      <c r="D384" s="25" t="s">
        <v>163</v>
      </c>
      <c r="E384" s="25" t="s">
        <v>1177</v>
      </c>
      <c r="F384" s="25" t="s">
        <v>667</v>
      </c>
      <c r="G384" s="79">
        <f t="shared" si="19"/>
        <v>45310</v>
      </c>
      <c r="H384" s="266">
        <v>4092423351</v>
      </c>
      <c r="J384" s="19" t="s">
        <v>668</v>
      </c>
      <c r="K384" s="25" t="s">
        <v>669</v>
      </c>
      <c r="L384" s="25" t="s">
        <v>144</v>
      </c>
      <c r="M384" s="25" t="s">
        <v>610</v>
      </c>
      <c r="N384" s="25">
        <v>2</v>
      </c>
      <c r="O384" s="241">
        <f>205.29*1.03</f>
        <v>211.4487</v>
      </c>
      <c r="P384" s="106">
        <f t="shared" si="18"/>
        <v>422.8974</v>
      </c>
      <c r="R384" s="24">
        <v>45405</v>
      </c>
      <c r="S384" s="258" t="s">
        <v>1300</v>
      </c>
      <c r="T384" s="24">
        <v>45427</v>
      </c>
      <c r="U384" s="25">
        <v>2</v>
      </c>
      <c r="V384" s="25" t="s">
        <v>803</v>
      </c>
      <c r="W384" s="25" t="s">
        <v>1292</v>
      </c>
    </row>
    <row r="385" spans="1:25" s="30" customFormat="1" x14ac:dyDescent="0.25">
      <c r="A385" s="28">
        <v>370</v>
      </c>
      <c r="B385" s="29">
        <v>45406</v>
      </c>
      <c r="C385" s="29">
        <v>45406</v>
      </c>
      <c r="D385" s="30" t="s">
        <v>183</v>
      </c>
      <c r="E385" s="30" t="s">
        <v>990</v>
      </c>
      <c r="F385" s="30" t="s">
        <v>628</v>
      </c>
      <c r="G385" s="80">
        <f t="shared" si="19"/>
        <v>44562</v>
      </c>
      <c r="H385" s="15">
        <v>4323682207</v>
      </c>
      <c r="J385" s="35" t="s">
        <v>991</v>
      </c>
      <c r="K385" s="30" t="s">
        <v>633</v>
      </c>
      <c r="L385" s="30" t="s">
        <v>144</v>
      </c>
      <c r="M385" s="30" t="s">
        <v>610</v>
      </c>
      <c r="N385" s="30">
        <v>10</v>
      </c>
      <c r="O385" s="30">
        <v>195.96</v>
      </c>
      <c r="P385" s="108">
        <f t="shared" si="18"/>
        <v>1959.6000000000001</v>
      </c>
      <c r="Q385" s="46"/>
      <c r="R385" s="29"/>
      <c r="S385" s="31"/>
      <c r="T385" s="29"/>
      <c r="V385" s="30" t="s">
        <v>896</v>
      </c>
    </row>
    <row r="386" spans="1:25" s="30" customFormat="1" x14ac:dyDescent="0.25">
      <c r="A386" s="28">
        <v>371</v>
      </c>
      <c r="B386" s="29">
        <v>45406</v>
      </c>
      <c r="C386" s="29">
        <v>45406</v>
      </c>
      <c r="D386" s="30" t="s">
        <v>163</v>
      </c>
      <c r="E386" s="30" t="s">
        <v>73</v>
      </c>
      <c r="F386" s="30" t="s">
        <v>806</v>
      </c>
      <c r="G386" s="80">
        <f t="shared" si="19"/>
        <v>45425</v>
      </c>
      <c r="H386" s="15">
        <v>4094600282</v>
      </c>
      <c r="J386" s="35" t="s">
        <v>1301</v>
      </c>
      <c r="K386" s="30" t="s">
        <v>1302</v>
      </c>
      <c r="L386" s="30" t="s">
        <v>650</v>
      </c>
      <c r="M386" s="30" t="s">
        <v>610</v>
      </c>
      <c r="N386" s="30">
        <v>3</v>
      </c>
      <c r="O386" s="30">
        <v>205.29</v>
      </c>
      <c r="P386" s="108">
        <f t="shared" si="18"/>
        <v>615.87</v>
      </c>
      <c r="R386" s="29"/>
      <c r="S386" s="31"/>
      <c r="T386" s="29"/>
      <c r="V386" s="30" t="s">
        <v>1041</v>
      </c>
      <c r="W386" s="30" t="s">
        <v>1164</v>
      </c>
      <c r="Y386" s="30" t="s">
        <v>803</v>
      </c>
    </row>
    <row r="387" spans="1:25" s="30" customFormat="1" x14ac:dyDescent="0.25">
      <c r="A387" s="28">
        <v>372</v>
      </c>
      <c r="B387" s="29">
        <v>45406</v>
      </c>
      <c r="C387" s="29">
        <v>45406</v>
      </c>
      <c r="D387" s="30" t="s">
        <v>385</v>
      </c>
      <c r="E387" s="30" t="s">
        <v>85</v>
      </c>
      <c r="F387" s="30" t="s">
        <v>1303</v>
      </c>
      <c r="G387" s="80" t="str">
        <f t="shared" si="19"/>
        <v>NEED FORM</v>
      </c>
      <c r="H387" s="15" t="s">
        <v>1304</v>
      </c>
      <c r="J387" s="30" t="s">
        <v>1305</v>
      </c>
      <c r="M387" s="30" t="s">
        <v>610</v>
      </c>
      <c r="N387" s="30">
        <v>2</v>
      </c>
      <c r="O387" s="30">
        <v>205.29</v>
      </c>
      <c r="P387" s="107">
        <f t="shared" si="18"/>
        <v>410.58</v>
      </c>
      <c r="R387" s="29"/>
      <c r="S387" s="31"/>
      <c r="T387" s="29"/>
    </row>
    <row r="388" spans="1:25" s="25" customFormat="1" x14ac:dyDescent="0.25">
      <c r="A388" s="23">
        <v>373</v>
      </c>
      <c r="B388" s="24">
        <v>45406</v>
      </c>
      <c r="C388" s="24">
        <v>45406</v>
      </c>
      <c r="D388" s="25" t="s">
        <v>1306</v>
      </c>
      <c r="E388" s="25" t="s">
        <v>1307</v>
      </c>
      <c r="F388" s="25" t="s">
        <v>1308</v>
      </c>
      <c r="G388" s="79">
        <f t="shared" si="19"/>
        <v>45440</v>
      </c>
      <c r="H388" s="14">
        <v>610882222</v>
      </c>
      <c r="J388" s="25" t="s">
        <v>1309</v>
      </c>
      <c r="K388" s="25" t="s">
        <v>1310</v>
      </c>
      <c r="L388" s="25" t="s">
        <v>207</v>
      </c>
      <c r="M388" s="25" t="s">
        <v>610</v>
      </c>
      <c r="N388" s="25">
        <v>2</v>
      </c>
      <c r="O388" s="25">
        <v>205.29</v>
      </c>
      <c r="P388" s="106">
        <f t="shared" si="18"/>
        <v>410.58</v>
      </c>
      <c r="R388" s="24">
        <v>45413</v>
      </c>
      <c r="S388" s="26" t="s">
        <v>1311</v>
      </c>
      <c r="T388" s="24">
        <v>45435</v>
      </c>
      <c r="U388" s="25">
        <v>2</v>
      </c>
      <c r="V388" s="25" t="s">
        <v>1041</v>
      </c>
      <c r="W388" s="25" t="s">
        <v>1312</v>
      </c>
    </row>
    <row r="389" spans="1:25" s="25" customFormat="1" x14ac:dyDescent="0.25">
      <c r="A389" s="23">
        <v>374</v>
      </c>
      <c r="B389" s="24">
        <v>45407</v>
      </c>
      <c r="C389" s="24">
        <v>45407</v>
      </c>
      <c r="D389" s="25" t="s">
        <v>1261</v>
      </c>
      <c r="E389" s="25" t="s">
        <v>1262</v>
      </c>
      <c r="F389" s="25" t="s">
        <v>628</v>
      </c>
      <c r="G389" s="79">
        <f t="shared" si="19"/>
        <v>44562</v>
      </c>
      <c r="H389" s="14">
        <v>4323682207</v>
      </c>
      <c r="J389" s="25" t="s">
        <v>1263</v>
      </c>
      <c r="K389" s="25" t="s">
        <v>505</v>
      </c>
      <c r="L389" s="25" t="s">
        <v>144</v>
      </c>
      <c r="M389" s="25" t="s">
        <v>610</v>
      </c>
      <c r="N389" s="25">
        <v>5</v>
      </c>
      <c r="O389" s="25">
        <v>205.29</v>
      </c>
      <c r="P389" s="106">
        <f t="shared" si="18"/>
        <v>1026.45</v>
      </c>
      <c r="R389" s="24">
        <v>45407</v>
      </c>
      <c r="S389" s="26">
        <v>9642212</v>
      </c>
      <c r="T389" s="24">
        <v>45429</v>
      </c>
      <c r="U389" s="25">
        <v>5</v>
      </c>
      <c r="V389" s="25" t="s">
        <v>683</v>
      </c>
    </row>
    <row r="390" spans="1:25" s="25" customFormat="1" x14ac:dyDescent="0.25">
      <c r="A390" s="23">
        <v>375</v>
      </c>
      <c r="B390" s="24">
        <v>45408</v>
      </c>
      <c r="C390" s="24">
        <v>45408</v>
      </c>
      <c r="D390" s="25" t="s">
        <v>1233</v>
      </c>
      <c r="E390" s="25" t="s">
        <v>57</v>
      </c>
      <c r="F390" s="25" t="s">
        <v>806</v>
      </c>
      <c r="G390" s="79">
        <f t="shared" si="19"/>
        <v>45425</v>
      </c>
      <c r="H390" s="14">
        <v>4094600282</v>
      </c>
      <c r="J390" s="19" t="s">
        <v>1301</v>
      </c>
      <c r="K390" s="25" t="s">
        <v>669</v>
      </c>
      <c r="L390" s="25" t="s">
        <v>144</v>
      </c>
      <c r="M390" s="25" t="s">
        <v>610</v>
      </c>
      <c r="N390" s="25">
        <v>1</v>
      </c>
      <c r="O390" s="25">
        <v>350</v>
      </c>
      <c r="P390" s="106">
        <f t="shared" si="18"/>
        <v>360.5</v>
      </c>
      <c r="Q390" s="25">
        <v>10.5</v>
      </c>
      <c r="R390" s="24">
        <v>45425</v>
      </c>
      <c r="S390" s="26">
        <v>4300857011</v>
      </c>
      <c r="T390" s="24">
        <v>45446</v>
      </c>
      <c r="U390" s="25">
        <v>1</v>
      </c>
      <c r="V390" s="25" t="s">
        <v>1041</v>
      </c>
      <c r="W390" s="25" t="s">
        <v>1164</v>
      </c>
      <c r="X390" s="25" t="s">
        <v>1313</v>
      </c>
      <c r="Y390" s="25" t="s">
        <v>803</v>
      </c>
    </row>
    <row r="391" spans="1:25" s="25" customFormat="1" x14ac:dyDescent="0.25">
      <c r="A391" s="23">
        <v>376</v>
      </c>
      <c r="B391" s="24">
        <v>45409</v>
      </c>
      <c r="C391" s="24">
        <v>45409</v>
      </c>
      <c r="D391" s="25" t="s">
        <v>163</v>
      </c>
      <c r="E391" s="25" t="s">
        <v>1177</v>
      </c>
      <c r="F391" s="25" t="s">
        <v>667</v>
      </c>
      <c r="G391" s="79">
        <f t="shared" si="19"/>
        <v>45310</v>
      </c>
      <c r="H391" s="266">
        <v>4092423351</v>
      </c>
      <c r="J391" s="19" t="s">
        <v>668</v>
      </c>
      <c r="K391" s="25" t="s">
        <v>669</v>
      </c>
      <c r="L391" s="25" t="s">
        <v>144</v>
      </c>
      <c r="M391" s="25" t="s">
        <v>610</v>
      </c>
      <c r="N391" s="25">
        <v>1</v>
      </c>
      <c r="O391" s="25">
        <v>405.47</v>
      </c>
      <c r="P391" s="106">
        <f t="shared" si="18"/>
        <v>405.47</v>
      </c>
      <c r="R391" s="24">
        <v>45408</v>
      </c>
      <c r="S391" s="258" t="s">
        <v>1314</v>
      </c>
      <c r="T391" s="24">
        <v>45411</v>
      </c>
      <c r="U391" s="25">
        <v>1</v>
      </c>
      <c r="V391" s="25" t="s">
        <v>1315</v>
      </c>
      <c r="X391" s="25" t="s">
        <v>1316</v>
      </c>
      <c r="Y391" s="25" t="s">
        <v>1317</v>
      </c>
    </row>
    <row r="392" spans="1:25" s="25" customFormat="1" x14ac:dyDescent="0.25">
      <c r="A392" s="23">
        <v>377</v>
      </c>
      <c r="B392" s="24">
        <v>45399</v>
      </c>
      <c r="C392" s="24">
        <v>45399</v>
      </c>
      <c r="D392" s="25" t="s">
        <v>87</v>
      </c>
      <c r="E392" s="25" t="s">
        <v>128</v>
      </c>
      <c r="F392" s="25" t="s">
        <v>1251</v>
      </c>
      <c r="G392" s="79">
        <f t="shared" si="19"/>
        <v>45411</v>
      </c>
      <c r="H392" s="14">
        <v>6096518511</v>
      </c>
      <c r="J392" s="243" t="s">
        <v>1252</v>
      </c>
      <c r="K392" s="25" t="s">
        <v>297</v>
      </c>
      <c r="L392" s="25" t="s">
        <v>96</v>
      </c>
      <c r="M392" s="25" t="s">
        <v>610</v>
      </c>
      <c r="N392" s="25">
        <v>2</v>
      </c>
      <c r="O392" s="25">
        <v>205.29</v>
      </c>
      <c r="P392" s="106">
        <f t="shared" si="18"/>
        <v>410.58</v>
      </c>
      <c r="R392" s="24">
        <v>45405</v>
      </c>
      <c r="S392" s="26">
        <v>20242089</v>
      </c>
      <c r="T392" s="24">
        <v>45427</v>
      </c>
      <c r="U392" s="25">
        <v>2</v>
      </c>
      <c r="V392" s="25" t="s">
        <v>1298</v>
      </c>
      <c r="X392" s="25" t="s">
        <v>1299</v>
      </c>
    </row>
    <row r="393" spans="1:25" s="30" customFormat="1" x14ac:dyDescent="0.25">
      <c r="A393" s="28">
        <v>378</v>
      </c>
      <c r="B393" s="29">
        <v>45408</v>
      </c>
      <c r="C393" s="29">
        <v>45408</v>
      </c>
      <c r="D393" s="30" t="s">
        <v>163</v>
      </c>
      <c r="E393" s="30" t="s">
        <v>1177</v>
      </c>
      <c r="F393" s="30" t="s">
        <v>667</v>
      </c>
      <c r="G393" s="80">
        <f t="shared" si="19"/>
        <v>45310</v>
      </c>
      <c r="H393" s="264">
        <v>4092423351</v>
      </c>
      <c r="J393" s="35" t="s">
        <v>668</v>
      </c>
      <c r="K393" s="30" t="s">
        <v>669</v>
      </c>
      <c r="L393" s="30" t="s">
        <v>144</v>
      </c>
      <c r="M393" s="30" t="s">
        <v>608</v>
      </c>
      <c r="N393" s="30">
        <v>2</v>
      </c>
      <c r="O393" s="30">
        <v>205.29</v>
      </c>
      <c r="P393" s="108">
        <f t="shared" si="18"/>
        <v>410.58</v>
      </c>
      <c r="R393" s="29"/>
      <c r="S393" s="31"/>
      <c r="T393" s="29"/>
      <c r="V393" s="30" t="s">
        <v>1315</v>
      </c>
      <c r="X393" s="30" t="s">
        <v>1316</v>
      </c>
      <c r="Y393" s="30" t="s">
        <v>1317</v>
      </c>
    </row>
    <row r="394" spans="1:25" s="25" customFormat="1" x14ac:dyDescent="0.25">
      <c r="A394" s="23">
        <v>379</v>
      </c>
      <c r="B394" s="24">
        <v>45408</v>
      </c>
      <c r="C394" s="24">
        <v>45408</v>
      </c>
      <c r="D394" s="25" t="s">
        <v>476</v>
      </c>
      <c r="E394" s="25" t="s">
        <v>784</v>
      </c>
      <c r="F394" s="25" t="s">
        <v>631</v>
      </c>
      <c r="G394" s="79">
        <f t="shared" si="19"/>
        <v>44927</v>
      </c>
      <c r="H394" s="14">
        <v>4323336181</v>
      </c>
      <c r="J394" s="19" t="s">
        <v>785</v>
      </c>
      <c r="K394" s="25" t="s">
        <v>633</v>
      </c>
      <c r="L394" s="25" t="s">
        <v>144</v>
      </c>
      <c r="M394" s="25" t="s">
        <v>610</v>
      </c>
      <c r="N394" s="25">
        <v>50</v>
      </c>
      <c r="O394" s="25">
        <v>164.87</v>
      </c>
      <c r="P394" s="106">
        <f t="shared" si="18"/>
        <v>8243.5</v>
      </c>
      <c r="R394" s="24">
        <v>45408</v>
      </c>
      <c r="S394" s="26" t="s">
        <v>1318</v>
      </c>
      <c r="T394" s="24">
        <v>45429</v>
      </c>
      <c r="U394" s="25">
        <v>50</v>
      </c>
      <c r="V394" s="25" t="s">
        <v>683</v>
      </c>
    </row>
    <row r="395" spans="1:25" s="30" customFormat="1" x14ac:dyDescent="0.25">
      <c r="A395" s="28">
        <v>380</v>
      </c>
      <c r="B395" s="29">
        <v>45408</v>
      </c>
      <c r="C395" s="29">
        <v>45408</v>
      </c>
      <c r="D395" s="30" t="s">
        <v>163</v>
      </c>
      <c r="E395" s="30" t="s">
        <v>1177</v>
      </c>
      <c r="F395" s="30" t="s">
        <v>667</v>
      </c>
      <c r="G395" s="80">
        <f t="shared" si="19"/>
        <v>45310</v>
      </c>
      <c r="H395" s="264">
        <v>4092423351</v>
      </c>
      <c r="J395" s="35" t="s">
        <v>668</v>
      </c>
      <c r="K395" s="30" t="s">
        <v>669</v>
      </c>
      <c r="L395" s="30" t="s">
        <v>144</v>
      </c>
      <c r="M395" s="30" t="s">
        <v>610</v>
      </c>
      <c r="N395" s="30">
        <v>20</v>
      </c>
      <c r="O395" s="30">
        <v>195.96</v>
      </c>
      <c r="P395" s="108">
        <f t="shared" si="18"/>
        <v>3919.2000000000003</v>
      </c>
      <c r="R395" s="29"/>
      <c r="S395" s="31"/>
      <c r="T395" s="29"/>
      <c r="V395" s="30" t="s">
        <v>1315</v>
      </c>
      <c r="X395" s="30" t="s">
        <v>1316</v>
      </c>
      <c r="Y395" s="30" t="s">
        <v>1317</v>
      </c>
    </row>
    <row r="396" spans="1:25" s="30" customFormat="1" x14ac:dyDescent="0.25">
      <c r="A396" s="28">
        <v>381</v>
      </c>
      <c r="B396" s="29">
        <v>45408</v>
      </c>
      <c r="C396" s="29">
        <v>45408</v>
      </c>
      <c r="D396" s="30" t="s">
        <v>1319</v>
      </c>
      <c r="E396" s="30" t="s">
        <v>1320</v>
      </c>
      <c r="F396" s="30" t="s">
        <v>1321</v>
      </c>
      <c r="G396" s="80" t="str">
        <f t="shared" si="19"/>
        <v>NEED FORM</v>
      </c>
      <c r="H396" s="264" t="s">
        <v>398</v>
      </c>
      <c r="J396" s="120" t="s">
        <v>1322</v>
      </c>
      <c r="K396" s="30" t="s">
        <v>398</v>
      </c>
      <c r="L396" s="30" t="s">
        <v>398</v>
      </c>
      <c r="M396" s="30" t="s">
        <v>610</v>
      </c>
      <c r="N396" s="30">
        <v>20</v>
      </c>
      <c r="O396" s="30">
        <v>195.96</v>
      </c>
      <c r="P396" s="107">
        <f t="shared" si="18"/>
        <v>3919.2000000000003</v>
      </c>
      <c r="R396" s="29"/>
      <c r="S396" s="31"/>
      <c r="T396" s="29"/>
      <c r="V396" s="30" t="s">
        <v>1323</v>
      </c>
      <c r="W396" s="30" t="s">
        <v>1164</v>
      </c>
    </row>
    <row r="397" spans="1:25" s="30" customFormat="1" x14ac:dyDescent="0.25">
      <c r="A397" s="28">
        <v>382</v>
      </c>
      <c r="B397" s="29">
        <v>45411</v>
      </c>
      <c r="C397" s="29">
        <v>45411</v>
      </c>
      <c r="D397" s="30" t="s">
        <v>183</v>
      </c>
      <c r="E397" s="30" t="s">
        <v>990</v>
      </c>
      <c r="F397" s="30" t="s">
        <v>628</v>
      </c>
      <c r="G397" s="80">
        <f t="shared" si="19"/>
        <v>44562</v>
      </c>
      <c r="H397" s="15">
        <v>4323682207</v>
      </c>
      <c r="J397" s="35" t="s">
        <v>991</v>
      </c>
      <c r="K397" s="30" t="s">
        <v>633</v>
      </c>
      <c r="L397" s="30" t="s">
        <v>144</v>
      </c>
      <c r="M397" s="30" t="s">
        <v>611</v>
      </c>
      <c r="N397" s="30">
        <v>10</v>
      </c>
      <c r="O397" s="30">
        <v>195.96</v>
      </c>
      <c r="P397" s="108">
        <f t="shared" si="18"/>
        <v>1959.6000000000001</v>
      </c>
      <c r="Q397" s="46"/>
      <c r="R397" s="29"/>
      <c r="S397" s="31"/>
      <c r="T397" s="29"/>
      <c r="V397" s="30" t="s">
        <v>896</v>
      </c>
    </row>
    <row r="398" spans="1:25" s="25" customFormat="1" x14ac:dyDescent="0.25">
      <c r="A398" s="23">
        <v>383</v>
      </c>
      <c r="B398" s="24">
        <v>45414</v>
      </c>
      <c r="C398" s="24">
        <v>45414</v>
      </c>
      <c r="D398" s="25" t="s">
        <v>407</v>
      </c>
      <c r="E398" s="25" t="s">
        <v>1009</v>
      </c>
      <c r="F398" s="25" t="s">
        <v>631</v>
      </c>
      <c r="G398" s="79">
        <f t="shared" si="19"/>
        <v>44927</v>
      </c>
      <c r="H398" s="14">
        <v>3256582867</v>
      </c>
      <c r="J398" s="19" t="s">
        <v>1010</v>
      </c>
      <c r="K398" s="25" t="s">
        <v>1011</v>
      </c>
      <c r="L398" s="25" t="s">
        <v>938</v>
      </c>
      <c r="M398" s="25" t="s">
        <v>610</v>
      </c>
      <c r="N398" s="25">
        <v>80</v>
      </c>
      <c r="O398" s="25">
        <v>164.87</v>
      </c>
      <c r="P398" s="106">
        <f t="shared" si="18"/>
        <v>13189.6</v>
      </c>
      <c r="R398" s="24">
        <v>45413</v>
      </c>
      <c r="S398" s="26" t="s">
        <v>1324</v>
      </c>
      <c r="T398" s="24">
        <v>45435</v>
      </c>
      <c r="U398" s="25">
        <v>80</v>
      </c>
      <c r="V398" s="25" t="s">
        <v>683</v>
      </c>
    </row>
    <row r="399" spans="1:25" s="25" customFormat="1" x14ac:dyDescent="0.25">
      <c r="A399" s="23">
        <v>384</v>
      </c>
      <c r="B399" s="24">
        <v>45414</v>
      </c>
      <c r="C399" s="24">
        <v>45414</v>
      </c>
      <c r="D399" s="25" t="s">
        <v>163</v>
      </c>
      <c r="E399" s="25" t="s">
        <v>1177</v>
      </c>
      <c r="F399" s="25" t="s">
        <v>667</v>
      </c>
      <c r="G399" s="79">
        <f t="shared" si="19"/>
        <v>45310</v>
      </c>
      <c r="H399" s="266">
        <v>4092423351</v>
      </c>
      <c r="J399" s="19" t="s">
        <v>668</v>
      </c>
      <c r="K399" s="25" t="s">
        <v>669</v>
      </c>
      <c r="L399" s="25" t="s">
        <v>144</v>
      </c>
      <c r="M399" s="25" t="s">
        <v>608</v>
      </c>
      <c r="N399" s="25">
        <v>6</v>
      </c>
      <c r="O399" s="25">
        <v>205.29</v>
      </c>
      <c r="P399" s="106">
        <f t="shared" si="18"/>
        <v>1231.74</v>
      </c>
      <c r="R399" s="24">
        <v>45408</v>
      </c>
      <c r="S399" s="26" t="s">
        <v>1325</v>
      </c>
      <c r="T399" s="24">
        <v>45436</v>
      </c>
      <c r="U399" s="25">
        <v>6</v>
      </c>
      <c r="V399" s="25" t="s">
        <v>1315</v>
      </c>
      <c r="Y399" s="25" t="s">
        <v>1317</v>
      </c>
    </row>
    <row r="400" spans="1:25" s="25" customFormat="1" x14ac:dyDescent="0.25">
      <c r="A400" s="23">
        <v>385</v>
      </c>
      <c r="B400" s="24">
        <v>45414</v>
      </c>
      <c r="C400" s="24">
        <v>45414</v>
      </c>
      <c r="D400" s="25" t="s">
        <v>163</v>
      </c>
      <c r="E400" s="25" t="s">
        <v>1177</v>
      </c>
      <c r="F400" s="25" t="s">
        <v>667</v>
      </c>
      <c r="G400" s="79">
        <f t="shared" si="19"/>
        <v>45310</v>
      </c>
      <c r="H400" s="266">
        <v>4092423351</v>
      </c>
      <c r="J400" s="19" t="s">
        <v>668</v>
      </c>
      <c r="K400" s="25" t="s">
        <v>669</v>
      </c>
      <c r="L400" s="25" t="s">
        <v>144</v>
      </c>
      <c r="M400" s="25" t="s">
        <v>610</v>
      </c>
      <c r="N400" s="25">
        <v>20</v>
      </c>
      <c r="O400" s="25">
        <v>195.96</v>
      </c>
      <c r="P400" s="106">
        <f t="shared" si="18"/>
        <v>3919.2000000000003</v>
      </c>
      <c r="R400" s="24">
        <v>45408</v>
      </c>
      <c r="S400" s="258" t="s">
        <v>1325</v>
      </c>
      <c r="T400" s="24">
        <v>45436</v>
      </c>
      <c r="U400" s="25">
        <v>6</v>
      </c>
      <c r="V400" s="25" t="s">
        <v>1315</v>
      </c>
      <c r="Y400" s="25" t="s">
        <v>1317</v>
      </c>
    </row>
    <row r="401" spans="1:25" s="38" customFormat="1" x14ac:dyDescent="0.25">
      <c r="A401" s="36">
        <v>386</v>
      </c>
      <c r="B401" s="37">
        <v>45418</v>
      </c>
      <c r="C401" s="37">
        <v>45418</v>
      </c>
      <c r="D401" s="38" t="s">
        <v>1326</v>
      </c>
      <c r="E401" s="38" t="s">
        <v>1094</v>
      </c>
      <c r="F401" s="38" t="s">
        <v>628</v>
      </c>
      <c r="G401" s="86">
        <f t="shared" si="19"/>
        <v>44562</v>
      </c>
      <c r="H401" s="16">
        <v>3256772984</v>
      </c>
      <c r="J401" s="45" t="s">
        <v>1095</v>
      </c>
      <c r="K401" s="38" t="s">
        <v>633</v>
      </c>
      <c r="L401" s="38" t="s">
        <v>144</v>
      </c>
      <c r="M401" s="38" t="s">
        <v>611</v>
      </c>
      <c r="N401" s="38">
        <v>100</v>
      </c>
      <c r="O401" s="38">
        <v>183.18</v>
      </c>
      <c r="P401" s="106">
        <f t="shared" ref="P401:P432" si="20">N401*O401+Q401</f>
        <v>18318</v>
      </c>
      <c r="Q401" s="255"/>
      <c r="R401" s="37">
        <v>45432</v>
      </c>
      <c r="S401" s="39">
        <v>9672383</v>
      </c>
      <c r="T401" s="37">
        <v>45461</v>
      </c>
      <c r="U401" s="38">
        <v>100</v>
      </c>
      <c r="V401" s="38" t="s">
        <v>896</v>
      </c>
      <c r="Y401" s="38" t="s">
        <v>1327</v>
      </c>
    </row>
    <row r="402" spans="1:25" s="25" customFormat="1" x14ac:dyDescent="0.25">
      <c r="A402" s="23">
        <v>387</v>
      </c>
      <c r="B402" s="24">
        <v>45418</v>
      </c>
      <c r="C402" s="24">
        <v>45418</v>
      </c>
      <c r="D402" s="25" t="s">
        <v>384</v>
      </c>
      <c r="E402" s="25" t="s">
        <v>787</v>
      </c>
      <c r="F402" s="25" t="s">
        <v>788</v>
      </c>
      <c r="G402" s="79">
        <f t="shared" si="19"/>
        <v>45597</v>
      </c>
      <c r="H402" s="14">
        <v>7576154137</v>
      </c>
      <c r="J402" s="25" t="s">
        <v>1033</v>
      </c>
      <c r="K402" s="25" t="s">
        <v>790</v>
      </c>
      <c r="L402" s="25" t="s">
        <v>416</v>
      </c>
      <c r="M402" s="25" t="s">
        <v>639</v>
      </c>
      <c r="N402" s="25">
        <v>9</v>
      </c>
      <c r="O402" s="25">
        <v>200.62</v>
      </c>
      <c r="P402" s="106">
        <f t="shared" si="20"/>
        <v>1805.58</v>
      </c>
      <c r="R402" s="24">
        <v>45594</v>
      </c>
      <c r="S402" s="26">
        <v>4523883644</v>
      </c>
      <c r="T402" s="24">
        <v>45616</v>
      </c>
      <c r="U402" s="25">
        <v>9</v>
      </c>
      <c r="V402" s="25" t="s">
        <v>1034</v>
      </c>
      <c r="W402" s="25" t="s">
        <v>1164</v>
      </c>
    </row>
    <row r="403" spans="1:25" s="30" customFormat="1" x14ac:dyDescent="0.25">
      <c r="A403" s="28">
        <v>388</v>
      </c>
      <c r="B403" s="29">
        <v>45418</v>
      </c>
      <c r="C403" s="29">
        <v>45418</v>
      </c>
      <c r="D403" s="30" t="s">
        <v>300</v>
      </c>
      <c r="E403" s="30" t="s">
        <v>1328</v>
      </c>
      <c r="F403" s="30" t="s">
        <v>1329</v>
      </c>
      <c r="G403" s="80" t="str">
        <f t="shared" si="19"/>
        <v>NEED FORM</v>
      </c>
      <c r="H403" s="15"/>
      <c r="J403" s="21" t="s">
        <v>1330</v>
      </c>
      <c r="M403" s="30" t="s">
        <v>639</v>
      </c>
      <c r="N403" s="30">
        <v>20</v>
      </c>
      <c r="O403" s="30">
        <v>195.96</v>
      </c>
      <c r="P403" s="107">
        <f t="shared" si="20"/>
        <v>3919.2000000000003</v>
      </c>
      <c r="R403" s="29"/>
      <c r="S403" s="31"/>
      <c r="T403" s="29"/>
      <c r="W403" s="30" t="s">
        <v>1164</v>
      </c>
    </row>
    <row r="404" spans="1:25" s="30" customFormat="1" x14ac:dyDescent="0.25">
      <c r="A404" s="40">
        <v>389</v>
      </c>
      <c r="B404" s="29">
        <v>45418</v>
      </c>
      <c r="C404" s="29">
        <v>45418</v>
      </c>
      <c r="D404" s="30" t="s">
        <v>300</v>
      </c>
      <c r="E404" s="30" t="s">
        <v>1328</v>
      </c>
      <c r="F404" s="30" t="s">
        <v>1329</v>
      </c>
      <c r="G404" s="80" t="str">
        <f t="shared" si="19"/>
        <v>NEED FORM</v>
      </c>
      <c r="H404" s="15"/>
      <c r="J404" s="21" t="s">
        <v>1330</v>
      </c>
      <c r="M404" s="30" t="s">
        <v>608</v>
      </c>
      <c r="N404" s="30">
        <v>20</v>
      </c>
      <c r="O404" s="30">
        <v>195.96</v>
      </c>
      <c r="P404" s="107">
        <f t="shared" si="20"/>
        <v>3919.2000000000003</v>
      </c>
      <c r="R404" s="29"/>
      <c r="S404" s="31"/>
      <c r="T404" s="29"/>
      <c r="W404" s="30" t="s">
        <v>1164</v>
      </c>
    </row>
    <row r="405" spans="1:25" s="30" customFormat="1" x14ac:dyDescent="0.25">
      <c r="A405" s="28">
        <v>390</v>
      </c>
      <c r="B405" s="29">
        <v>45418</v>
      </c>
      <c r="C405" s="29">
        <v>45418</v>
      </c>
      <c r="D405" s="30" t="s">
        <v>300</v>
      </c>
      <c r="E405" s="30" t="s">
        <v>1328</v>
      </c>
      <c r="F405" s="30" t="s">
        <v>1329</v>
      </c>
      <c r="G405" s="80" t="str">
        <f t="shared" si="19"/>
        <v>NEED FORM</v>
      </c>
      <c r="H405" s="15"/>
      <c r="J405" s="21" t="s">
        <v>1330</v>
      </c>
      <c r="M405" s="30" t="s">
        <v>610</v>
      </c>
      <c r="N405" s="30">
        <v>20</v>
      </c>
      <c r="O405" s="30">
        <v>195.96</v>
      </c>
      <c r="P405" s="107">
        <f t="shared" si="20"/>
        <v>3919.2000000000003</v>
      </c>
      <c r="R405" s="29"/>
      <c r="S405" s="31"/>
      <c r="T405" s="29"/>
      <c r="W405" s="30" t="s">
        <v>1164</v>
      </c>
    </row>
    <row r="406" spans="1:25" s="30" customFormat="1" x14ac:dyDescent="0.25">
      <c r="A406" s="28">
        <v>391</v>
      </c>
      <c r="B406" s="29">
        <v>45418</v>
      </c>
      <c r="C406" s="29">
        <v>45418</v>
      </c>
      <c r="D406" s="30" t="s">
        <v>300</v>
      </c>
      <c r="E406" s="30" t="s">
        <v>1328</v>
      </c>
      <c r="F406" s="30" t="s">
        <v>1329</v>
      </c>
      <c r="G406" s="80" t="str">
        <f t="shared" si="19"/>
        <v>NEED FORM</v>
      </c>
      <c r="H406" s="15"/>
      <c r="J406" s="21" t="s">
        <v>1330</v>
      </c>
      <c r="M406" s="30" t="s">
        <v>723</v>
      </c>
      <c r="N406" s="30">
        <v>20</v>
      </c>
      <c r="O406" s="30">
        <v>195.96</v>
      </c>
      <c r="P406" s="107">
        <f t="shared" si="20"/>
        <v>3919.2000000000003</v>
      </c>
      <c r="R406" s="29"/>
      <c r="S406" s="31"/>
      <c r="T406" s="29"/>
      <c r="W406" s="30" t="s">
        <v>1164</v>
      </c>
    </row>
    <row r="407" spans="1:25" s="30" customFormat="1" x14ac:dyDescent="0.25">
      <c r="A407" s="40">
        <v>392</v>
      </c>
      <c r="B407" s="29">
        <v>45418</v>
      </c>
      <c r="C407" s="29">
        <v>45418</v>
      </c>
      <c r="D407" s="30" t="s">
        <v>300</v>
      </c>
      <c r="E407" s="30" t="s">
        <v>1328</v>
      </c>
      <c r="F407" s="30" t="s">
        <v>1329</v>
      </c>
      <c r="G407" s="80" t="str">
        <f t="shared" ref="G407:G438" si="21">_xlfn.IFNA(VLOOKUP(F407,TAX,2,FALSE), "NEED FORM")</f>
        <v>NEED FORM</v>
      </c>
      <c r="H407" s="15"/>
      <c r="J407" s="21" t="s">
        <v>1330</v>
      </c>
      <c r="M407" s="30" t="s">
        <v>611</v>
      </c>
      <c r="N407" s="30">
        <v>20</v>
      </c>
      <c r="O407" s="30">
        <v>195.96</v>
      </c>
      <c r="P407" s="107">
        <f t="shared" si="20"/>
        <v>3919.2000000000003</v>
      </c>
      <c r="R407" s="29"/>
      <c r="S407" s="31"/>
      <c r="T407" s="29"/>
      <c r="W407" s="30" t="s">
        <v>1164</v>
      </c>
    </row>
    <row r="408" spans="1:25" s="30" customFormat="1" x14ac:dyDescent="0.25">
      <c r="A408" s="28">
        <v>393</v>
      </c>
      <c r="B408" s="29">
        <v>45418</v>
      </c>
      <c r="C408" s="29">
        <v>45418</v>
      </c>
      <c r="D408" s="30" t="s">
        <v>300</v>
      </c>
      <c r="E408" s="30" t="s">
        <v>1328</v>
      </c>
      <c r="F408" s="30" t="s">
        <v>1329</v>
      </c>
      <c r="G408" s="80" t="str">
        <f t="shared" si="21"/>
        <v>NEED FORM</v>
      </c>
      <c r="H408" s="15"/>
      <c r="J408" s="21" t="s">
        <v>1330</v>
      </c>
      <c r="M408" s="30" t="s">
        <v>704</v>
      </c>
      <c r="N408" s="30">
        <v>20</v>
      </c>
      <c r="O408" s="30">
        <v>195.96</v>
      </c>
      <c r="P408" s="107">
        <f t="shared" si="20"/>
        <v>3919.2000000000003</v>
      </c>
      <c r="R408" s="29"/>
      <c r="S408" s="31"/>
      <c r="T408" s="29"/>
      <c r="W408" s="30" t="s">
        <v>1164</v>
      </c>
    </row>
    <row r="409" spans="1:25" s="30" customFormat="1" x14ac:dyDescent="0.25">
      <c r="A409" s="28">
        <v>394</v>
      </c>
      <c r="B409" s="29">
        <v>45418</v>
      </c>
      <c r="C409" s="29">
        <v>45418</v>
      </c>
      <c r="D409" s="30" t="s">
        <v>300</v>
      </c>
      <c r="E409" s="30" t="s">
        <v>1328</v>
      </c>
      <c r="F409" s="30" t="s">
        <v>1329</v>
      </c>
      <c r="G409" s="80" t="str">
        <f t="shared" si="21"/>
        <v>NEED FORM</v>
      </c>
      <c r="H409" s="15"/>
      <c r="J409" s="21" t="s">
        <v>1330</v>
      </c>
      <c r="M409" s="30" t="s">
        <v>625</v>
      </c>
      <c r="N409" s="30">
        <v>20</v>
      </c>
      <c r="O409" s="30">
        <v>195.96</v>
      </c>
      <c r="P409" s="107">
        <f t="shared" si="20"/>
        <v>3919.2000000000003</v>
      </c>
      <c r="R409" s="29"/>
      <c r="S409" s="31"/>
      <c r="T409" s="29"/>
      <c r="W409" s="30" t="s">
        <v>1164</v>
      </c>
    </row>
    <row r="410" spans="1:25" s="30" customFormat="1" x14ac:dyDescent="0.25">
      <c r="A410" s="40">
        <v>395</v>
      </c>
      <c r="B410" s="29">
        <v>45418</v>
      </c>
      <c r="C410" s="29">
        <v>45418</v>
      </c>
      <c r="D410" s="30" t="s">
        <v>300</v>
      </c>
      <c r="E410" s="30" t="s">
        <v>1328</v>
      </c>
      <c r="F410" s="30" t="s">
        <v>1329</v>
      </c>
      <c r="G410" s="80" t="str">
        <f t="shared" si="21"/>
        <v>NEED FORM</v>
      </c>
      <c r="H410" s="15"/>
      <c r="J410" s="21" t="s">
        <v>1330</v>
      </c>
      <c r="M410" s="30" t="s">
        <v>626</v>
      </c>
      <c r="N410" s="30">
        <v>20</v>
      </c>
      <c r="O410" s="30">
        <v>195.96</v>
      </c>
      <c r="P410" s="107">
        <f t="shared" si="20"/>
        <v>3919.2000000000003</v>
      </c>
      <c r="R410" s="29"/>
      <c r="S410" s="31"/>
      <c r="T410" s="29"/>
      <c r="W410" s="30" t="s">
        <v>1164</v>
      </c>
    </row>
    <row r="411" spans="1:25" s="30" customFormat="1" x14ac:dyDescent="0.25">
      <c r="A411" s="28">
        <v>396</v>
      </c>
      <c r="B411" s="29">
        <v>45418</v>
      </c>
      <c r="C411" s="29">
        <v>45417</v>
      </c>
      <c r="D411" s="30" t="s">
        <v>1192</v>
      </c>
      <c r="E411" s="30" t="s">
        <v>870</v>
      </c>
      <c r="F411" s="30" t="s">
        <v>1331</v>
      </c>
      <c r="G411" s="80" t="str">
        <f t="shared" si="21"/>
        <v>NEED FORM</v>
      </c>
      <c r="H411" s="264" t="s">
        <v>1332</v>
      </c>
      <c r="J411" s="21" t="s">
        <v>1333</v>
      </c>
      <c r="K411" s="30" t="s">
        <v>1334</v>
      </c>
      <c r="L411" s="30" t="s">
        <v>144</v>
      </c>
      <c r="M411" s="30" t="s">
        <v>608</v>
      </c>
      <c r="N411" s="30">
        <v>2</v>
      </c>
      <c r="O411" s="30">
        <v>205.29</v>
      </c>
      <c r="P411" s="107">
        <f t="shared" si="20"/>
        <v>410.58</v>
      </c>
      <c r="R411" s="29"/>
      <c r="S411" s="31"/>
      <c r="T411" s="29"/>
      <c r="W411" s="30" t="s">
        <v>1164</v>
      </c>
    </row>
    <row r="412" spans="1:25" s="30" customFormat="1" x14ac:dyDescent="0.25">
      <c r="A412" s="28">
        <v>397</v>
      </c>
      <c r="B412" s="29">
        <v>45421</v>
      </c>
      <c r="C412" s="29">
        <v>45421</v>
      </c>
      <c r="D412" s="30" t="s">
        <v>75</v>
      </c>
      <c r="E412" s="30" t="s">
        <v>1335</v>
      </c>
      <c r="F412" s="30" t="s">
        <v>1336</v>
      </c>
      <c r="G412" s="80" t="str">
        <f t="shared" si="21"/>
        <v>NEED FORM</v>
      </c>
      <c r="H412" s="264"/>
      <c r="J412" s="120" t="s">
        <v>1337</v>
      </c>
      <c r="M412" s="30" t="s">
        <v>610</v>
      </c>
      <c r="N412" s="30">
        <v>2</v>
      </c>
      <c r="O412" s="30">
        <v>205.29</v>
      </c>
      <c r="P412" s="107">
        <f t="shared" si="20"/>
        <v>410.58</v>
      </c>
      <c r="R412" s="29"/>
      <c r="S412" s="31"/>
      <c r="T412" s="29"/>
      <c r="W412" s="30" t="s">
        <v>1164</v>
      </c>
    </row>
    <row r="413" spans="1:25" s="25" customFormat="1" x14ac:dyDescent="0.25">
      <c r="A413" s="23">
        <v>398</v>
      </c>
      <c r="B413" s="24">
        <v>45428</v>
      </c>
      <c r="C413" s="24">
        <v>45428</v>
      </c>
      <c r="D413" s="25" t="s">
        <v>1338</v>
      </c>
      <c r="E413" s="25" t="s">
        <v>1339</v>
      </c>
      <c r="F413" s="25" t="s">
        <v>667</v>
      </c>
      <c r="G413" s="79">
        <f t="shared" si="21"/>
        <v>45310</v>
      </c>
      <c r="H413" s="266">
        <v>2563502491</v>
      </c>
      <c r="J413" s="19" t="s">
        <v>1340</v>
      </c>
      <c r="K413" s="25" t="s">
        <v>1341</v>
      </c>
      <c r="L413" s="25" t="s">
        <v>108</v>
      </c>
      <c r="M413" s="25" t="s">
        <v>1342</v>
      </c>
      <c r="N413" s="25">
        <v>10</v>
      </c>
      <c r="O413" s="25">
        <v>125.97</v>
      </c>
      <c r="P413" s="106">
        <f t="shared" si="20"/>
        <v>1259.7</v>
      </c>
      <c r="R413" s="24">
        <v>45427</v>
      </c>
      <c r="S413" s="26" t="s">
        <v>1343</v>
      </c>
      <c r="T413" s="24">
        <v>45449</v>
      </c>
      <c r="U413" s="25">
        <v>10</v>
      </c>
      <c r="V413" s="25" t="s">
        <v>1315</v>
      </c>
      <c r="Y413" s="25" t="s">
        <v>1344</v>
      </c>
    </row>
    <row r="414" spans="1:25" s="30" customFormat="1" x14ac:dyDescent="0.25">
      <c r="A414" s="28">
        <v>399</v>
      </c>
      <c r="B414" s="29">
        <v>45435</v>
      </c>
      <c r="C414" s="29">
        <v>45440</v>
      </c>
      <c r="D414" s="30" t="s">
        <v>1345</v>
      </c>
      <c r="E414" s="30" t="s">
        <v>1346</v>
      </c>
      <c r="F414" s="30" t="s">
        <v>1203</v>
      </c>
      <c r="G414" s="80">
        <f t="shared" si="21"/>
        <v>45320</v>
      </c>
      <c r="H414" s="15">
        <v>7137254774</v>
      </c>
      <c r="J414" s="120" t="s">
        <v>1347</v>
      </c>
      <c r="K414" s="30" t="s">
        <v>505</v>
      </c>
      <c r="L414" s="30" t="s">
        <v>144</v>
      </c>
      <c r="M414" s="30" t="s">
        <v>610</v>
      </c>
      <c r="N414" s="30">
        <v>2</v>
      </c>
      <c r="O414" s="30">
        <v>205.29</v>
      </c>
      <c r="P414" s="107">
        <f t="shared" si="20"/>
        <v>410.58</v>
      </c>
      <c r="R414" s="29"/>
      <c r="S414" s="31"/>
      <c r="T414" s="29"/>
      <c r="W414" s="30" t="s">
        <v>1164</v>
      </c>
    </row>
    <row r="415" spans="1:25" s="25" customFormat="1" x14ac:dyDescent="0.25">
      <c r="A415" s="23">
        <v>400</v>
      </c>
      <c r="B415" s="24">
        <v>45443</v>
      </c>
      <c r="C415" s="24">
        <v>45443</v>
      </c>
      <c r="D415" s="25" t="s">
        <v>1180</v>
      </c>
      <c r="E415" s="25" t="s">
        <v>1181</v>
      </c>
      <c r="F415" s="25" t="s">
        <v>615</v>
      </c>
      <c r="G415" s="79">
        <f t="shared" si="21"/>
        <v>45286</v>
      </c>
      <c r="H415" s="14">
        <v>6641270205</v>
      </c>
      <c r="J415" s="19" t="s">
        <v>1281</v>
      </c>
      <c r="K415" s="25" t="s">
        <v>1182</v>
      </c>
      <c r="L415" s="25" t="s">
        <v>174</v>
      </c>
      <c r="M415" s="25" t="s">
        <v>610</v>
      </c>
      <c r="N415" s="25">
        <v>1</v>
      </c>
      <c r="O415" s="25">
        <v>300</v>
      </c>
      <c r="P415" s="106">
        <f t="shared" si="20"/>
        <v>300</v>
      </c>
      <c r="R415" s="24">
        <v>45428</v>
      </c>
      <c r="S415" s="26">
        <v>3011558714</v>
      </c>
      <c r="T415" s="24">
        <v>45464</v>
      </c>
      <c r="U415" s="25">
        <v>1</v>
      </c>
      <c r="V415" s="25" t="s">
        <v>989</v>
      </c>
      <c r="X415" s="25" t="s">
        <v>1348</v>
      </c>
    </row>
    <row r="416" spans="1:25" s="25" customFormat="1" x14ac:dyDescent="0.25">
      <c r="A416" s="23">
        <v>400</v>
      </c>
      <c r="B416" s="24">
        <v>45440</v>
      </c>
      <c r="C416" s="24">
        <v>45443</v>
      </c>
      <c r="D416" s="25" t="s">
        <v>1180</v>
      </c>
      <c r="E416" s="25" t="s">
        <v>1181</v>
      </c>
      <c r="F416" s="25" t="s">
        <v>615</v>
      </c>
      <c r="G416" s="79">
        <f t="shared" si="21"/>
        <v>45286</v>
      </c>
      <c r="H416" s="14">
        <v>6641270205</v>
      </c>
      <c r="J416" s="19" t="s">
        <v>1281</v>
      </c>
      <c r="K416" s="25" t="s">
        <v>1182</v>
      </c>
      <c r="L416" s="25" t="s">
        <v>174</v>
      </c>
      <c r="M416" s="25" t="s">
        <v>611</v>
      </c>
      <c r="N416" s="25">
        <v>1</v>
      </c>
      <c r="O416" s="25">
        <v>300</v>
      </c>
      <c r="P416" s="106">
        <f t="shared" si="20"/>
        <v>300</v>
      </c>
      <c r="R416" s="24">
        <v>45428</v>
      </c>
      <c r="S416" s="26">
        <v>3011558710</v>
      </c>
      <c r="T416" s="24">
        <v>45461</v>
      </c>
      <c r="U416" s="25">
        <v>1</v>
      </c>
      <c r="V416" s="25" t="s">
        <v>989</v>
      </c>
      <c r="X416" s="25" t="s">
        <v>1348</v>
      </c>
    </row>
    <row r="417" spans="1:25" s="30" customFormat="1" x14ac:dyDescent="0.25">
      <c r="A417" s="28">
        <v>402</v>
      </c>
      <c r="B417" s="29">
        <v>45443</v>
      </c>
      <c r="C417" s="29">
        <v>45443</v>
      </c>
      <c r="D417" s="30" t="s">
        <v>1349</v>
      </c>
      <c r="E417" s="30" t="s">
        <v>151</v>
      </c>
      <c r="F417" s="30" t="s">
        <v>1350</v>
      </c>
      <c r="G417" s="80" t="str">
        <f t="shared" si="21"/>
        <v>NEED FORM</v>
      </c>
      <c r="H417" s="15"/>
      <c r="J417" s="120" t="s">
        <v>1351</v>
      </c>
      <c r="M417" s="30" t="s">
        <v>610</v>
      </c>
      <c r="N417" s="30">
        <v>1</v>
      </c>
      <c r="O417" s="30">
        <v>300</v>
      </c>
      <c r="P417" s="107">
        <f t="shared" si="20"/>
        <v>300</v>
      </c>
      <c r="R417" s="29"/>
      <c r="S417" s="31"/>
      <c r="T417" s="29"/>
      <c r="W417" s="30" t="s">
        <v>1164</v>
      </c>
    </row>
    <row r="418" spans="1:25" s="30" customFormat="1" x14ac:dyDescent="0.25">
      <c r="A418" s="28">
        <v>403</v>
      </c>
      <c r="B418" s="29">
        <v>45447</v>
      </c>
      <c r="C418" s="29">
        <v>45447</v>
      </c>
      <c r="D418" s="30" t="s">
        <v>155</v>
      </c>
      <c r="E418" s="30" t="s">
        <v>1352</v>
      </c>
      <c r="F418" s="30" t="s">
        <v>1353</v>
      </c>
      <c r="G418" s="80" t="str">
        <f t="shared" si="21"/>
        <v>NEED FORM</v>
      </c>
      <c r="H418" s="15">
        <v>7654380238</v>
      </c>
      <c r="J418" s="120" t="s">
        <v>1354</v>
      </c>
      <c r="K418" s="30" t="s">
        <v>1355</v>
      </c>
      <c r="L418" s="30" t="s">
        <v>1356</v>
      </c>
      <c r="M418" s="30" t="s">
        <v>610</v>
      </c>
      <c r="N418" s="30">
        <v>1</v>
      </c>
      <c r="O418" s="30">
        <v>350</v>
      </c>
      <c r="P418" s="107">
        <f t="shared" si="20"/>
        <v>350</v>
      </c>
      <c r="R418" s="29"/>
      <c r="S418" s="31"/>
      <c r="T418" s="29"/>
      <c r="W418" s="30" t="s">
        <v>1164</v>
      </c>
    </row>
    <row r="419" spans="1:25" s="30" customFormat="1" x14ac:dyDescent="0.25">
      <c r="A419" s="28">
        <v>404</v>
      </c>
      <c r="B419" s="29">
        <v>45447</v>
      </c>
      <c r="C419" s="29">
        <v>45447</v>
      </c>
      <c r="D419" s="30" t="s">
        <v>155</v>
      </c>
      <c r="E419" s="30" t="s">
        <v>1352</v>
      </c>
      <c r="F419" s="30" t="s">
        <v>1353</v>
      </c>
      <c r="G419" s="80" t="str">
        <f t="shared" si="21"/>
        <v>NEED FORM</v>
      </c>
      <c r="H419" s="15">
        <v>7654380238</v>
      </c>
      <c r="J419" s="120" t="s">
        <v>1354</v>
      </c>
      <c r="K419" s="30" t="s">
        <v>1355</v>
      </c>
      <c r="L419" s="30" t="s">
        <v>1356</v>
      </c>
      <c r="M419" s="30" t="s">
        <v>1053</v>
      </c>
      <c r="N419" s="30">
        <v>1</v>
      </c>
      <c r="O419" s="30">
        <v>350</v>
      </c>
      <c r="P419" s="107">
        <f t="shared" si="20"/>
        <v>350</v>
      </c>
      <c r="R419" s="29"/>
      <c r="S419" s="31"/>
      <c r="T419" s="29"/>
      <c r="W419" s="30" t="s">
        <v>1164</v>
      </c>
    </row>
    <row r="420" spans="1:25" s="30" customFormat="1" x14ac:dyDescent="0.25">
      <c r="A420" s="28">
        <v>405</v>
      </c>
      <c r="B420" s="29">
        <v>45448</v>
      </c>
      <c r="C420" s="29">
        <v>45448</v>
      </c>
      <c r="D420" s="30" t="s">
        <v>1349</v>
      </c>
      <c r="E420" s="30" t="s">
        <v>151</v>
      </c>
      <c r="F420" s="30" t="s">
        <v>1350</v>
      </c>
      <c r="G420" s="80" t="str">
        <f t="shared" si="21"/>
        <v>NEED FORM</v>
      </c>
      <c r="H420" s="15">
        <v>3046549720</v>
      </c>
      <c r="J420" s="120" t="s">
        <v>1351</v>
      </c>
      <c r="M420" s="30" t="s">
        <v>610</v>
      </c>
      <c r="N420" s="30">
        <v>2</v>
      </c>
      <c r="O420" s="30">
        <v>205.29</v>
      </c>
      <c r="P420" s="107">
        <f t="shared" si="20"/>
        <v>410.58</v>
      </c>
      <c r="R420" s="29"/>
      <c r="S420" s="31"/>
      <c r="T420" s="29"/>
      <c r="W420" s="30" t="s">
        <v>1164</v>
      </c>
    </row>
    <row r="421" spans="1:25" s="25" customFormat="1" x14ac:dyDescent="0.25">
      <c r="A421" s="23">
        <v>406</v>
      </c>
      <c r="B421" s="24">
        <v>45448</v>
      </c>
      <c r="C421" s="24">
        <v>45448</v>
      </c>
      <c r="D421" s="25" t="s">
        <v>476</v>
      </c>
      <c r="E421" s="25" t="s">
        <v>784</v>
      </c>
      <c r="F421" s="25" t="s">
        <v>631</v>
      </c>
      <c r="G421" s="79">
        <f t="shared" si="21"/>
        <v>44927</v>
      </c>
      <c r="H421" s="14">
        <v>4323336181</v>
      </c>
      <c r="J421" s="19" t="s">
        <v>785</v>
      </c>
      <c r="K421" s="25" t="s">
        <v>633</v>
      </c>
      <c r="L421" s="25" t="s">
        <v>144</v>
      </c>
      <c r="M421" s="25" t="s">
        <v>610</v>
      </c>
      <c r="N421" s="25">
        <v>50</v>
      </c>
      <c r="O421" s="25">
        <v>164.87</v>
      </c>
      <c r="P421" s="106">
        <f t="shared" si="20"/>
        <v>8243.5</v>
      </c>
      <c r="R421" s="24">
        <v>45448</v>
      </c>
      <c r="S421" s="26" t="s">
        <v>1357</v>
      </c>
      <c r="T421" s="24">
        <v>45470</v>
      </c>
      <c r="U421" s="25">
        <v>50</v>
      </c>
      <c r="V421" s="25" t="s">
        <v>683</v>
      </c>
    </row>
    <row r="422" spans="1:25" s="25" customFormat="1" x14ac:dyDescent="0.25">
      <c r="A422" s="23">
        <v>407</v>
      </c>
      <c r="B422" s="24">
        <v>45455</v>
      </c>
      <c r="C422" s="24">
        <v>45455</v>
      </c>
      <c r="D422" s="25" t="s">
        <v>1233</v>
      </c>
      <c r="E422" s="25" t="s">
        <v>57</v>
      </c>
      <c r="F422" s="25" t="s">
        <v>806</v>
      </c>
      <c r="G422" s="79">
        <f t="shared" si="21"/>
        <v>45425</v>
      </c>
      <c r="H422" s="14">
        <v>4094600282</v>
      </c>
      <c r="J422" s="19" t="s">
        <v>1301</v>
      </c>
      <c r="K422" s="25" t="s">
        <v>669</v>
      </c>
      <c r="L422" s="25" t="s">
        <v>144</v>
      </c>
      <c r="M422" s="25" t="s">
        <v>610</v>
      </c>
      <c r="N422" s="25">
        <v>5</v>
      </c>
      <c r="O422" s="25">
        <v>200.62</v>
      </c>
      <c r="P422" s="106">
        <f t="shared" si="20"/>
        <v>1033.19</v>
      </c>
      <c r="Q422" s="25">
        <v>30.09</v>
      </c>
      <c r="R422" s="24">
        <v>45456</v>
      </c>
      <c r="S422" s="26">
        <v>4300862118</v>
      </c>
      <c r="T422" s="24">
        <v>45491</v>
      </c>
      <c r="U422" s="25">
        <v>5</v>
      </c>
      <c r="V422" s="25" t="s">
        <v>1041</v>
      </c>
      <c r="W422" s="25" t="s">
        <v>1164</v>
      </c>
      <c r="X422" s="25" t="s">
        <v>1313</v>
      </c>
      <c r="Y422" s="25" t="s">
        <v>1358</v>
      </c>
    </row>
    <row r="423" spans="1:25" s="25" customFormat="1" x14ac:dyDescent="0.25">
      <c r="A423" s="23">
        <v>408</v>
      </c>
      <c r="B423" s="24">
        <v>45455</v>
      </c>
      <c r="C423" s="24">
        <v>45455</v>
      </c>
      <c r="D423" s="25" t="s">
        <v>1233</v>
      </c>
      <c r="E423" s="25" t="s">
        <v>57</v>
      </c>
      <c r="F423" s="25" t="s">
        <v>806</v>
      </c>
      <c r="G423" s="79">
        <f t="shared" si="21"/>
        <v>45425</v>
      </c>
      <c r="H423" s="14">
        <v>4094600282</v>
      </c>
      <c r="J423" s="19" t="s">
        <v>1301</v>
      </c>
      <c r="K423" s="25" t="s">
        <v>669</v>
      </c>
      <c r="L423" s="25" t="s">
        <v>144</v>
      </c>
      <c r="M423" s="25" t="s">
        <v>611</v>
      </c>
      <c r="N423" s="25">
        <v>5</v>
      </c>
      <c r="O423" s="25">
        <v>200.62</v>
      </c>
      <c r="P423" s="106">
        <f t="shared" si="20"/>
        <v>1033.2</v>
      </c>
      <c r="Q423" s="25">
        <v>30.1</v>
      </c>
      <c r="R423" s="24">
        <v>45456</v>
      </c>
      <c r="S423" s="26">
        <v>4300862118</v>
      </c>
      <c r="T423" s="24">
        <v>45491</v>
      </c>
      <c r="U423" s="25">
        <v>5</v>
      </c>
      <c r="V423" s="25" t="s">
        <v>1041</v>
      </c>
      <c r="W423" s="25" t="s">
        <v>1164</v>
      </c>
      <c r="X423" s="25" t="s">
        <v>1313</v>
      </c>
      <c r="Y423" s="25" t="s">
        <v>1358</v>
      </c>
    </row>
    <row r="424" spans="1:25" s="25" customFormat="1" x14ac:dyDescent="0.25">
      <c r="A424" s="23">
        <v>409</v>
      </c>
      <c r="B424" s="24">
        <v>45455</v>
      </c>
      <c r="C424" s="24">
        <v>45455</v>
      </c>
      <c r="D424" s="25" t="s">
        <v>163</v>
      </c>
      <c r="E424" s="25" t="s">
        <v>1177</v>
      </c>
      <c r="F424" s="25" t="s">
        <v>667</v>
      </c>
      <c r="G424" s="79">
        <f t="shared" si="21"/>
        <v>45310</v>
      </c>
      <c r="H424" s="266">
        <v>4092423351</v>
      </c>
      <c r="J424" s="19" t="s">
        <v>668</v>
      </c>
      <c r="K424" s="25" t="s">
        <v>669</v>
      </c>
      <c r="L424" s="25" t="s">
        <v>144</v>
      </c>
      <c r="M424" s="25" t="s">
        <v>608</v>
      </c>
      <c r="N424" s="25">
        <v>20</v>
      </c>
      <c r="O424" s="25">
        <v>195.96</v>
      </c>
      <c r="P424" s="106">
        <f t="shared" si="20"/>
        <v>3919.2000000000003</v>
      </c>
      <c r="R424" s="24">
        <v>45455</v>
      </c>
      <c r="S424" s="26" t="s">
        <v>1359</v>
      </c>
      <c r="T424" s="24">
        <v>45491</v>
      </c>
      <c r="U424" s="25">
        <v>20</v>
      </c>
      <c r="V424" s="25" t="s">
        <v>1315</v>
      </c>
      <c r="Y424" s="25" t="s">
        <v>1360</v>
      </c>
    </row>
    <row r="425" spans="1:25" s="25" customFormat="1" x14ac:dyDescent="0.25">
      <c r="A425" s="23">
        <v>410</v>
      </c>
      <c r="B425" s="24">
        <v>45455</v>
      </c>
      <c r="C425" s="24">
        <v>45455</v>
      </c>
      <c r="D425" s="25" t="s">
        <v>163</v>
      </c>
      <c r="E425" s="25" t="s">
        <v>1177</v>
      </c>
      <c r="F425" s="25" t="s">
        <v>667</v>
      </c>
      <c r="G425" s="79">
        <f t="shared" si="21"/>
        <v>45310</v>
      </c>
      <c r="H425" s="266">
        <v>4092423351</v>
      </c>
      <c r="J425" s="19" t="s">
        <v>668</v>
      </c>
      <c r="K425" s="25" t="s">
        <v>669</v>
      </c>
      <c r="L425" s="25" t="s">
        <v>144</v>
      </c>
      <c r="M425" s="25" t="s">
        <v>611</v>
      </c>
      <c r="N425" s="25">
        <v>5</v>
      </c>
      <c r="O425" s="25">
        <v>200.62</v>
      </c>
      <c r="P425" s="106">
        <f t="shared" si="20"/>
        <v>1003.1</v>
      </c>
      <c r="R425" s="24">
        <v>45457</v>
      </c>
      <c r="S425" s="26" t="s">
        <v>1361</v>
      </c>
      <c r="T425" s="24">
        <v>45492</v>
      </c>
      <c r="U425" s="25">
        <v>5</v>
      </c>
      <c r="V425" s="25" t="s">
        <v>1315</v>
      </c>
      <c r="Y425" s="25" t="s">
        <v>1360</v>
      </c>
    </row>
    <row r="426" spans="1:25" s="25" customFormat="1" x14ac:dyDescent="0.25">
      <c r="A426" s="23">
        <v>411</v>
      </c>
      <c r="B426" s="24">
        <v>45455</v>
      </c>
      <c r="C426" s="24">
        <v>45455</v>
      </c>
      <c r="D426" s="25" t="s">
        <v>163</v>
      </c>
      <c r="E426" s="25" t="s">
        <v>1177</v>
      </c>
      <c r="F426" s="25" t="s">
        <v>667</v>
      </c>
      <c r="G426" s="79">
        <f t="shared" si="21"/>
        <v>45310</v>
      </c>
      <c r="H426" s="266">
        <v>4092423351</v>
      </c>
      <c r="J426" s="19" t="s">
        <v>668</v>
      </c>
      <c r="K426" s="25" t="s">
        <v>669</v>
      </c>
      <c r="L426" s="25" t="s">
        <v>144</v>
      </c>
      <c r="M426" s="25" t="s">
        <v>611</v>
      </c>
      <c r="N426" s="25">
        <v>5</v>
      </c>
      <c r="O426" s="25">
        <v>200.62</v>
      </c>
      <c r="P426" s="106">
        <f t="shared" si="20"/>
        <v>1003.1</v>
      </c>
      <c r="R426" s="24">
        <v>45457</v>
      </c>
      <c r="S426" s="26" t="s">
        <v>1361</v>
      </c>
      <c r="T426" s="24">
        <v>45492</v>
      </c>
      <c r="U426" s="25">
        <v>20</v>
      </c>
      <c r="V426" s="25" t="s">
        <v>1315</v>
      </c>
      <c r="Y426" s="25" t="s">
        <v>1360</v>
      </c>
    </row>
    <row r="427" spans="1:25" s="25" customFormat="1" x14ac:dyDescent="0.25">
      <c r="A427" s="23">
        <v>412</v>
      </c>
      <c r="B427" s="24">
        <v>45462</v>
      </c>
      <c r="C427" s="24">
        <v>45462</v>
      </c>
      <c r="D427" s="25" t="s">
        <v>1362</v>
      </c>
      <c r="E427" s="25" t="s">
        <v>1363</v>
      </c>
      <c r="F427" s="25" t="s">
        <v>957</v>
      </c>
      <c r="G427" s="79" t="str">
        <f t="shared" si="21"/>
        <v>Requested</v>
      </c>
      <c r="H427" s="266">
        <v>5042546223</v>
      </c>
      <c r="J427" s="125" t="s">
        <v>1364</v>
      </c>
      <c r="K427" s="25" t="s">
        <v>297</v>
      </c>
      <c r="L427" s="25" t="s">
        <v>96</v>
      </c>
      <c r="M427" s="25" t="s">
        <v>610</v>
      </c>
      <c r="N427" s="25">
        <v>4</v>
      </c>
      <c r="O427" s="25">
        <v>205.29</v>
      </c>
      <c r="P427" s="106">
        <f t="shared" si="20"/>
        <v>845.8</v>
      </c>
      <c r="Q427" s="25">
        <v>24.64</v>
      </c>
      <c r="R427" s="24">
        <v>45468</v>
      </c>
      <c r="S427" s="26" t="s">
        <v>1365</v>
      </c>
      <c r="T427" s="24">
        <v>45503</v>
      </c>
      <c r="U427" s="25">
        <v>4</v>
      </c>
      <c r="V427" s="25" t="s">
        <v>1041</v>
      </c>
      <c r="W427" s="25" t="s">
        <v>1164</v>
      </c>
      <c r="Y427" s="25" t="s">
        <v>1366</v>
      </c>
    </row>
    <row r="428" spans="1:25" s="25" customFormat="1" x14ac:dyDescent="0.25">
      <c r="A428" s="23">
        <v>413</v>
      </c>
      <c r="B428" s="24">
        <v>45462</v>
      </c>
      <c r="C428" s="24">
        <v>45462</v>
      </c>
      <c r="D428" s="25" t="s">
        <v>257</v>
      </c>
      <c r="E428" s="25" t="s">
        <v>1367</v>
      </c>
      <c r="F428" s="25" t="s">
        <v>1368</v>
      </c>
      <c r="G428" s="79" t="str">
        <f t="shared" si="21"/>
        <v>Requested</v>
      </c>
      <c r="H428" s="266">
        <v>5414236221</v>
      </c>
      <c r="J428" s="25" t="s">
        <v>1369</v>
      </c>
      <c r="K428" s="25" t="s">
        <v>1370</v>
      </c>
      <c r="L428" s="25" t="s">
        <v>382</v>
      </c>
      <c r="M428" s="25" t="s">
        <v>610</v>
      </c>
      <c r="N428" s="25">
        <v>1</v>
      </c>
      <c r="O428" s="25">
        <v>350</v>
      </c>
      <c r="P428" s="106">
        <f t="shared" si="20"/>
        <v>350.03</v>
      </c>
      <c r="Q428" s="32">
        <v>0.03</v>
      </c>
      <c r="R428" s="24">
        <v>45468</v>
      </c>
      <c r="S428" s="26">
        <v>4276248</v>
      </c>
      <c r="T428" s="24">
        <v>45502</v>
      </c>
      <c r="U428" s="25">
        <v>1</v>
      </c>
      <c r="V428" s="25" t="s">
        <v>1041</v>
      </c>
      <c r="W428" s="25" t="s">
        <v>1164</v>
      </c>
      <c r="Y428" s="25" t="s">
        <v>1371</v>
      </c>
    </row>
    <row r="429" spans="1:25" s="25" customFormat="1" x14ac:dyDescent="0.25">
      <c r="A429" s="23">
        <v>414</v>
      </c>
      <c r="B429" s="24">
        <v>45468</v>
      </c>
      <c r="C429" s="24">
        <v>45468</v>
      </c>
      <c r="D429" s="25" t="s">
        <v>263</v>
      </c>
      <c r="E429" s="25" t="s">
        <v>1372</v>
      </c>
      <c r="F429" s="25" t="s">
        <v>1373</v>
      </c>
      <c r="G429" s="79">
        <f t="shared" si="21"/>
        <v>45470</v>
      </c>
      <c r="H429" s="266">
        <v>7703122298</v>
      </c>
      <c r="J429" s="25" t="s">
        <v>1374</v>
      </c>
      <c r="M429" s="25" t="s">
        <v>610</v>
      </c>
      <c r="N429" s="25">
        <v>2</v>
      </c>
      <c r="O429" s="25">
        <v>205.29</v>
      </c>
      <c r="P429" s="106">
        <f t="shared" si="20"/>
        <v>410.58</v>
      </c>
      <c r="R429" s="24">
        <v>45469</v>
      </c>
      <c r="S429" s="26">
        <v>818111</v>
      </c>
      <c r="T429" s="24">
        <v>45505</v>
      </c>
      <c r="U429" s="25">
        <v>1</v>
      </c>
      <c r="V429" s="25" t="s">
        <v>1041</v>
      </c>
      <c r="W429" s="25" t="s">
        <v>24</v>
      </c>
      <c r="Y429" s="25" t="s">
        <v>1375</v>
      </c>
    </row>
    <row r="430" spans="1:25" s="25" customFormat="1" ht="14.45" customHeight="1" x14ac:dyDescent="0.25">
      <c r="A430" s="23">
        <v>415</v>
      </c>
      <c r="B430" s="24">
        <v>45476</v>
      </c>
      <c r="C430" s="24">
        <v>45476</v>
      </c>
      <c r="D430" s="25" t="s">
        <v>634</v>
      </c>
      <c r="E430" s="25" t="s">
        <v>635</v>
      </c>
      <c r="F430" s="25" t="s">
        <v>652</v>
      </c>
      <c r="G430" s="79" t="str">
        <f t="shared" si="21"/>
        <v>CANADA</v>
      </c>
      <c r="H430" s="14">
        <v>7043762800</v>
      </c>
      <c r="J430" s="19" t="s">
        <v>637</v>
      </c>
      <c r="K430" s="27" t="s">
        <v>653</v>
      </c>
      <c r="L430" s="25" t="s">
        <v>440</v>
      </c>
      <c r="M430" s="25" t="s">
        <v>610</v>
      </c>
      <c r="N430" s="25">
        <v>22</v>
      </c>
      <c r="O430" s="25">
        <v>195.96</v>
      </c>
      <c r="P430" s="106">
        <f t="shared" si="20"/>
        <v>4336.12</v>
      </c>
      <c r="Q430" s="25">
        <v>25</v>
      </c>
      <c r="R430" s="24">
        <v>45481</v>
      </c>
      <c r="S430" s="26" t="s">
        <v>1376</v>
      </c>
      <c r="T430" s="24">
        <v>45512</v>
      </c>
      <c r="U430" s="25">
        <v>22</v>
      </c>
      <c r="V430" s="25" t="s">
        <v>1034</v>
      </c>
      <c r="X430" s="25" t="s">
        <v>1061</v>
      </c>
    </row>
    <row r="431" spans="1:25" s="25" customFormat="1" x14ac:dyDescent="0.25">
      <c r="A431" s="23">
        <v>416</v>
      </c>
      <c r="B431" s="24">
        <v>45484</v>
      </c>
      <c r="C431" s="24">
        <v>45484</v>
      </c>
      <c r="D431" s="25" t="s">
        <v>163</v>
      </c>
      <c r="E431" s="25" t="s">
        <v>1177</v>
      </c>
      <c r="F431" s="25" t="s">
        <v>667</v>
      </c>
      <c r="G431" s="79">
        <f t="shared" si="21"/>
        <v>45310</v>
      </c>
      <c r="H431" s="266">
        <v>4092423351</v>
      </c>
      <c r="J431" s="19" t="s">
        <v>668</v>
      </c>
      <c r="K431" s="25" t="s">
        <v>669</v>
      </c>
      <c r="L431" s="25" t="s">
        <v>144</v>
      </c>
      <c r="M431" s="25" t="s">
        <v>639</v>
      </c>
      <c r="N431" s="25">
        <v>8</v>
      </c>
      <c r="O431" s="25">
        <v>200.62</v>
      </c>
      <c r="P431" s="106">
        <f t="shared" si="20"/>
        <v>1604.96</v>
      </c>
      <c r="R431" s="24">
        <v>45488</v>
      </c>
      <c r="S431" s="26" t="s">
        <v>1377</v>
      </c>
      <c r="T431" s="24">
        <v>45513</v>
      </c>
      <c r="U431" s="25">
        <v>8</v>
      </c>
      <c r="V431" s="25" t="s">
        <v>1034</v>
      </c>
    </row>
    <row r="432" spans="1:25" s="25" customFormat="1" x14ac:dyDescent="0.25">
      <c r="A432" s="23">
        <v>417</v>
      </c>
      <c r="B432" s="24">
        <v>45484</v>
      </c>
      <c r="C432" s="24">
        <v>45484</v>
      </c>
      <c r="D432" s="25" t="s">
        <v>163</v>
      </c>
      <c r="E432" s="25" t="s">
        <v>1177</v>
      </c>
      <c r="F432" s="25" t="s">
        <v>667</v>
      </c>
      <c r="G432" s="79">
        <f t="shared" si="21"/>
        <v>45310</v>
      </c>
      <c r="H432" s="266">
        <v>4092423351</v>
      </c>
      <c r="J432" s="19" t="s">
        <v>668</v>
      </c>
      <c r="K432" s="25" t="s">
        <v>669</v>
      </c>
      <c r="L432" s="25" t="s">
        <v>144</v>
      </c>
      <c r="M432" s="25" t="s">
        <v>608</v>
      </c>
      <c r="N432" s="25">
        <v>20</v>
      </c>
      <c r="O432" s="25">
        <v>195.96</v>
      </c>
      <c r="P432" s="106">
        <f t="shared" si="20"/>
        <v>3919.2000000000003</v>
      </c>
      <c r="R432" s="24">
        <v>45488</v>
      </c>
      <c r="S432" s="26" t="s">
        <v>1377</v>
      </c>
      <c r="T432" s="24">
        <v>45513</v>
      </c>
      <c r="U432" s="25">
        <v>8</v>
      </c>
      <c r="V432" s="25" t="s">
        <v>1034</v>
      </c>
    </row>
    <row r="433" spans="1:25" s="25" customFormat="1" x14ac:dyDescent="0.25">
      <c r="A433" s="23">
        <v>418</v>
      </c>
      <c r="B433" s="24">
        <v>45484</v>
      </c>
      <c r="C433" s="24">
        <v>45484</v>
      </c>
      <c r="D433" s="25" t="s">
        <v>163</v>
      </c>
      <c r="E433" s="25" t="s">
        <v>1177</v>
      </c>
      <c r="F433" s="25" t="s">
        <v>667</v>
      </c>
      <c r="G433" s="79">
        <f t="shared" si="21"/>
        <v>45310</v>
      </c>
      <c r="H433" s="266">
        <v>4092423351</v>
      </c>
      <c r="J433" s="19" t="s">
        <v>668</v>
      </c>
      <c r="K433" s="25" t="s">
        <v>669</v>
      </c>
      <c r="L433" s="25" t="s">
        <v>144</v>
      </c>
      <c r="M433" s="25" t="s">
        <v>610</v>
      </c>
      <c r="N433" s="25">
        <v>50</v>
      </c>
      <c r="O433" s="25">
        <v>164.87</v>
      </c>
      <c r="P433" s="106">
        <f t="shared" ref="P433:P446" si="22">N433*O433+Q433</f>
        <v>8243.5</v>
      </c>
      <c r="R433" s="24">
        <v>45488</v>
      </c>
      <c r="S433" s="26" t="s">
        <v>1377</v>
      </c>
      <c r="T433" s="24">
        <v>45513</v>
      </c>
      <c r="U433" s="25">
        <v>8</v>
      </c>
      <c r="V433" s="25" t="s">
        <v>1034</v>
      </c>
    </row>
    <row r="434" spans="1:25" s="30" customFormat="1" x14ac:dyDescent="0.25">
      <c r="A434" s="28">
        <v>419</v>
      </c>
      <c r="B434" s="29">
        <v>45490</v>
      </c>
      <c r="C434" s="29">
        <v>45490</v>
      </c>
      <c r="D434" s="30" t="s">
        <v>248</v>
      </c>
      <c r="E434" s="30" t="s">
        <v>1378</v>
      </c>
      <c r="F434" s="30" t="s">
        <v>1379</v>
      </c>
      <c r="G434" s="80" t="str">
        <f t="shared" si="21"/>
        <v>NEED FORM</v>
      </c>
      <c r="H434" s="15"/>
      <c r="J434" s="30" t="s">
        <v>1380</v>
      </c>
      <c r="M434" s="30" t="s">
        <v>639</v>
      </c>
      <c r="N434" s="30">
        <v>1</v>
      </c>
      <c r="O434" s="30">
        <v>350</v>
      </c>
      <c r="P434" s="107">
        <f t="shared" si="22"/>
        <v>350</v>
      </c>
      <c r="R434" s="29"/>
      <c r="S434" s="31"/>
      <c r="T434" s="29"/>
      <c r="W434" s="30" t="s">
        <v>1164</v>
      </c>
    </row>
    <row r="435" spans="1:25" s="25" customFormat="1" ht="15.75" thickBot="1" x14ac:dyDescent="0.3">
      <c r="A435" s="23">
        <v>420</v>
      </c>
      <c r="B435" s="24">
        <v>45495</v>
      </c>
      <c r="C435" s="24">
        <v>45496</v>
      </c>
      <c r="D435" s="25" t="s">
        <v>1381</v>
      </c>
      <c r="E435" s="25" t="s">
        <v>1382</v>
      </c>
      <c r="F435" s="25" t="s">
        <v>631</v>
      </c>
      <c r="G435" s="79">
        <f t="shared" si="21"/>
        <v>44927</v>
      </c>
      <c r="H435" s="14">
        <v>5129142699</v>
      </c>
      <c r="J435" s="125" t="s">
        <v>1383</v>
      </c>
      <c r="K435" s="25" t="s">
        <v>1384</v>
      </c>
      <c r="L435" s="25" t="s">
        <v>913</v>
      </c>
      <c r="M435" s="25" t="s">
        <v>610</v>
      </c>
      <c r="N435" s="25">
        <v>120</v>
      </c>
      <c r="O435" s="238">
        <v>156.52000000000001</v>
      </c>
      <c r="P435" s="106">
        <f t="shared" si="22"/>
        <v>18782.400000000001</v>
      </c>
      <c r="R435" s="24">
        <v>45499</v>
      </c>
      <c r="S435" s="26" t="s">
        <v>1385</v>
      </c>
      <c r="T435" s="24">
        <v>45527</v>
      </c>
      <c r="U435" s="25">
        <v>120</v>
      </c>
      <c r="V435" s="25" t="s">
        <v>683</v>
      </c>
      <c r="W435" s="25" t="s">
        <v>1164</v>
      </c>
      <c r="X435" s="25" t="s">
        <v>1386</v>
      </c>
    </row>
    <row r="436" spans="1:25" s="30" customFormat="1" x14ac:dyDescent="0.25">
      <c r="A436" s="28">
        <v>421</v>
      </c>
      <c r="B436" s="29">
        <v>45526</v>
      </c>
      <c r="C436" s="29">
        <v>45526</v>
      </c>
      <c r="D436" s="30" t="s">
        <v>620</v>
      </c>
      <c r="E436" s="30" t="s">
        <v>621</v>
      </c>
      <c r="F436" s="30" t="s">
        <v>622</v>
      </c>
      <c r="G436" s="80" t="str">
        <f t="shared" si="21"/>
        <v>Malaysia</v>
      </c>
      <c r="H436" s="15" t="s">
        <v>725</v>
      </c>
      <c r="J436" s="35" t="s">
        <v>623</v>
      </c>
      <c r="K436" s="30" t="s">
        <v>624</v>
      </c>
      <c r="L436" s="30" t="s">
        <v>624</v>
      </c>
      <c r="M436" s="30" t="s">
        <v>625</v>
      </c>
      <c r="N436" s="30">
        <v>5</v>
      </c>
      <c r="O436" s="276">
        <v>204.62</v>
      </c>
      <c r="P436" s="108">
        <f t="shared" si="22"/>
        <v>1023.1</v>
      </c>
      <c r="R436" s="29"/>
      <c r="S436" s="31"/>
      <c r="T436" s="29"/>
      <c r="V436" s="30" t="s">
        <v>924</v>
      </c>
      <c r="Y436" s="30" t="s">
        <v>925</v>
      </c>
    </row>
    <row r="437" spans="1:25" s="30" customFormat="1" ht="15.75" thickBot="1" x14ac:dyDescent="0.3">
      <c r="A437" s="28">
        <v>422</v>
      </c>
      <c r="B437" s="29">
        <v>45526</v>
      </c>
      <c r="C437" s="29">
        <v>45526</v>
      </c>
      <c r="D437" s="30" t="s">
        <v>620</v>
      </c>
      <c r="E437" s="30" t="s">
        <v>621</v>
      </c>
      <c r="F437" s="30" t="s">
        <v>622</v>
      </c>
      <c r="G437" s="80" t="str">
        <f t="shared" si="21"/>
        <v>Malaysia</v>
      </c>
      <c r="H437" s="15" t="s">
        <v>725</v>
      </c>
      <c r="J437" s="35" t="s">
        <v>623</v>
      </c>
      <c r="K437" s="30" t="s">
        <v>624</v>
      </c>
      <c r="L437" s="30" t="s">
        <v>624</v>
      </c>
      <c r="M437" s="30" t="s">
        <v>626</v>
      </c>
      <c r="N437" s="30">
        <v>5</v>
      </c>
      <c r="O437" s="277">
        <v>204.62</v>
      </c>
      <c r="P437" s="108">
        <f t="shared" si="22"/>
        <v>1023.1</v>
      </c>
      <c r="R437" s="29"/>
      <c r="S437" s="31"/>
      <c r="T437" s="29"/>
      <c r="V437" s="30" t="s">
        <v>924</v>
      </c>
      <c r="Y437" s="30" t="s">
        <v>925</v>
      </c>
    </row>
    <row r="438" spans="1:25" s="30" customFormat="1" x14ac:dyDescent="0.25">
      <c r="A438" s="28">
        <v>423</v>
      </c>
      <c r="B438" s="29">
        <v>45526</v>
      </c>
      <c r="C438" s="29">
        <v>45526</v>
      </c>
      <c r="D438" s="30" t="s">
        <v>263</v>
      </c>
      <c r="E438" s="30" t="s">
        <v>1372</v>
      </c>
      <c r="F438" s="30" t="s">
        <v>1373</v>
      </c>
      <c r="G438" s="80">
        <f t="shared" si="21"/>
        <v>45470</v>
      </c>
      <c r="H438" s="264">
        <v>7703122298</v>
      </c>
      <c r="J438" s="30" t="s">
        <v>1374</v>
      </c>
      <c r="M438" s="30" t="s">
        <v>610</v>
      </c>
      <c r="N438" s="30">
        <v>3</v>
      </c>
      <c r="O438" s="63">
        <v>205.29</v>
      </c>
      <c r="P438" s="108">
        <f t="shared" si="22"/>
        <v>655.87</v>
      </c>
      <c r="Q438" s="30">
        <v>40</v>
      </c>
      <c r="R438" s="29"/>
      <c r="S438" s="31"/>
      <c r="T438" s="29"/>
      <c r="V438" s="30" t="s">
        <v>1041</v>
      </c>
      <c r="W438" s="30" t="s">
        <v>24</v>
      </c>
      <c r="Y438" s="30" t="s">
        <v>1387</v>
      </c>
    </row>
    <row r="439" spans="1:25" s="25" customFormat="1" x14ac:dyDescent="0.25">
      <c r="A439" s="23">
        <v>424</v>
      </c>
      <c r="B439" s="24">
        <v>45531</v>
      </c>
      <c r="C439" s="24">
        <v>45531</v>
      </c>
      <c r="D439" s="25" t="s">
        <v>515</v>
      </c>
      <c r="E439" s="25" t="s">
        <v>1388</v>
      </c>
      <c r="F439" s="25" t="s">
        <v>615</v>
      </c>
      <c r="G439" s="79">
        <f t="shared" ref="G439:G446" si="23">_xlfn.IFNA(VLOOKUP(F439,TAX,2,FALSE), "NEED FORM")</f>
        <v>45286</v>
      </c>
      <c r="H439" s="14">
        <v>919718304844</v>
      </c>
      <c r="J439" s="19" t="s">
        <v>1281</v>
      </c>
      <c r="K439" s="25" t="s">
        <v>1182</v>
      </c>
      <c r="L439" s="25" t="s">
        <v>174</v>
      </c>
      <c r="M439" s="25" t="s">
        <v>611</v>
      </c>
      <c r="N439" s="25">
        <v>1</v>
      </c>
      <c r="O439" s="25">
        <v>350</v>
      </c>
      <c r="P439" s="106">
        <f t="shared" si="22"/>
        <v>525</v>
      </c>
      <c r="Q439" s="25">
        <v>175</v>
      </c>
      <c r="R439" s="24">
        <v>45505</v>
      </c>
      <c r="S439" s="26">
        <v>3011667807</v>
      </c>
      <c r="T439" s="24">
        <v>45534</v>
      </c>
      <c r="U439" s="25">
        <v>1</v>
      </c>
      <c r="V439" s="25" t="s">
        <v>989</v>
      </c>
      <c r="X439" s="25" t="s">
        <v>1079</v>
      </c>
    </row>
    <row r="440" spans="1:25" s="30" customFormat="1" x14ac:dyDescent="0.25">
      <c r="A440" s="28">
        <v>425</v>
      </c>
      <c r="B440" s="29">
        <v>45531</v>
      </c>
      <c r="C440" s="29">
        <v>45357</v>
      </c>
      <c r="D440" s="30" t="s">
        <v>68</v>
      </c>
      <c r="E440" s="30" t="s">
        <v>980</v>
      </c>
      <c r="F440" s="30" t="s">
        <v>728</v>
      </c>
      <c r="G440" s="80">
        <f t="shared" si="23"/>
        <v>45358</v>
      </c>
      <c r="H440" s="15">
        <v>6265440202</v>
      </c>
      <c r="J440" s="30" t="s">
        <v>729</v>
      </c>
      <c r="K440" s="30" t="s">
        <v>981</v>
      </c>
      <c r="L440" s="30" t="s">
        <v>174</v>
      </c>
      <c r="M440" s="30" t="s">
        <v>639</v>
      </c>
      <c r="N440" s="30">
        <v>134</v>
      </c>
      <c r="O440" s="30">
        <v>156.62</v>
      </c>
      <c r="P440" s="108">
        <f t="shared" si="22"/>
        <v>20987.08</v>
      </c>
      <c r="R440" s="29"/>
      <c r="S440" s="31"/>
      <c r="T440" s="29"/>
      <c r="V440" s="30" t="s">
        <v>683</v>
      </c>
    </row>
    <row r="441" spans="1:25" s="30" customFormat="1" x14ac:dyDescent="0.25">
      <c r="A441" s="28">
        <v>426</v>
      </c>
      <c r="B441" s="29">
        <v>45531</v>
      </c>
      <c r="C441" s="29">
        <v>45357</v>
      </c>
      <c r="D441" s="30" t="s">
        <v>68</v>
      </c>
      <c r="E441" s="30" t="s">
        <v>980</v>
      </c>
      <c r="F441" s="30" t="s">
        <v>728</v>
      </c>
      <c r="G441" s="80">
        <f t="shared" si="23"/>
        <v>45358</v>
      </c>
      <c r="H441" s="15">
        <v>6265440202</v>
      </c>
      <c r="J441" s="30" t="s">
        <v>729</v>
      </c>
      <c r="K441" s="30" t="s">
        <v>981</v>
      </c>
      <c r="L441" s="30" t="s">
        <v>174</v>
      </c>
      <c r="M441" s="30" t="s">
        <v>608</v>
      </c>
      <c r="N441" s="30">
        <v>134</v>
      </c>
      <c r="O441" s="30">
        <v>156.62</v>
      </c>
      <c r="P441" s="108">
        <f t="shared" si="22"/>
        <v>20987.08</v>
      </c>
      <c r="R441" s="29"/>
      <c r="S441" s="31"/>
      <c r="T441" s="29"/>
      <c r="V441" s="30" t="s">
        <v>683</v>
      </c>
    </row>
    <row r="442" spans="1:25" s="30" customFormat="1" x14ac:dyDescent="0.25">
      <c r="A442" s="28">
        <v>427</v>
      </c>
      <c r="B442" s="29">
        <v>45531</v>
      </c>
      <c r="C442" s="29">
        <v>45357</v>
      </c>
      <c r="D442" s="30" t="s">
        <v>68</v>
      </c>
      <c r="E442" s="30" t="s">
        <v>980</v>
      </c>
      <c r="F442" s="30" t="s">
        <v>728</v>
      </c>
      <c r="G442" s="80">
        <f t="shared" si="23"/>
        <v>45358</v>
      </c>
      <c r="H442" s="15">
        <v>6265440202</v>
      </c>
      <c r="J442" s="30" t="s">
        <v>729</v>
      </c>
      <c r="K442" s="30" t="s">
        <v>981</v>
      </c>
      <c r="L442" s="30" t="s">
        <v>174</v>
      </c>
      <c r="M442" s="30" t="s">
        <v>610</v>
      </c>
      <c r="N442" s="30">
        <v>134</v>
      </c>
      <c r="O442" s="30">
        <v>156.62</v>
      </c>
      <c r="P442" s="108">
        <f t="shared" si="22"/>
        <v>20987.08</v>
      </c>
      <c r="R442" s="29"/>
      <c r="S442" s="31"/>
      <c r="T442" s="29"/>
      <c r="V442" s="30" t="s">
        <v>683</v>
      </c>
    </row>
    <row r="443" spans="1:25" s="30" customFormat="1" x14ac:dyDescent="0.25">
      <c r="A443" s="28">
        <v>428</v>
      </c>
      <c r="B443" s="29">
        <v>45531</v>
      </c>
      <c r="C443" s="29">
        <v>45357</v>
      </c>
      <c r="D443" s="30" t="s">
        <v>68</v>
      </c>
      <c r="E443" s="30" t="s">
        <v>980</v>
      </c>
      <c r="F443" s="30" t="s">
        <v>728</v>
      </c>
      <c r="G443" s="80">
        <f t="shared" si="23"/>
        <v>45358</v>
      </c>
      <c r="H443" s="15">
        <v>6265440202</v>
      </c>
      <c r="J443" s="30" t="s">
        <v>729</v>
      </c>
      <c r="K443" s="30" t="s">
        <v>981</v>
      </c>
      <c r="L443" s="30" t="s">
        <v>174</v>
      </c>
      <c r="M443" s="30" t="s">
        <v>611</v>
      </c>
      <c r="N443" s="30">
        <v>134</v>
      </c>
      <c r="O443" s="30">
        <v>174.02</v>
      </c>
      <c r="P443" s="108">
        <f t="shared" si="22"/>
        <v>23318.68</v>
      </c>
      <c r="R443" s="29"/>
      <c r="S443" s="31"/>
      <c r="T443" s="29"/>
      <c r="V443" s="30" t="s">
        <v>683</v>
      </c>
    </row>
    <row r="444" spans="1:25" s="30" customFormat="1" x14ac:dyDescent="0.25">
      <c r="A444" s="28">
        <v>429</v>
      </c>
      <c r="B444" s="29">
        <v>45531</v>
      </c>
      <c r="C444" s="29">
        <v>45357</v>
      </c>
      <c r="D444" s="30" t="s">
        <v>68</v>
      </c>
      <c r="E444" s="30" t="s">
        <v>980</v>
      </c>
      <c r="F444" s="30" t="s">
        <v>728</v>
      </c>
      <c r="G444" s="80">
        <f t="shared" si="23"/>
        <v>45358</v>
      </c>
      <c r="H444" s="15">
        <v>6265440202</v>
      </c>
      <c r="J444" s="30" t="s">
        <v>729</v>
      </c>
      <c r="K444" s="30" t="s">
        <v>981</v>
      </c>
      <c r="L444" s="30" t="s">
        <v>174</v>
      </c>
      <c r="M444" s="30" t="s">
        <v>704</v>
      </c>
      <c r="N444" s="30">
        <v>44</v>
      </c>
      <c r="O444" s="30">
        <v>168.99</v>
      </c>
      <c r="P444" s="108">
        <f t="shared" si="22"/>
        <v>7435.56</v>
      </c>
      <c r="R444" s="29"/>
      <c r="S444" s="31"/>
      <c r="T444" s="29"/>
      <c r="V444" s="30" t="s">
        <v>683</v>
      </c>
    </row>
    <row r="445" spans="1:25" s="30" customFormat="1" x14ac:dyDescent="0.25">
      <c r="A445" s="28">
        <v>430</v>
      </c>
      <c r="B445" s="29">
        <v>45531</v>
      </c>
      <c r="C445" s="29">
        <v>45357</v>
      </c>
      <c r="D445" s="30" t="s">
        <v>68</v>
      </c>
      <c r="E445" s="30" t="s">
        <v>980</v>
      </c>
      <c r="F445" s="30" t="s">
        <v>728</v>
      </c>
      <c r="G445" s="80">
        <f t="shared" si="23"/>
        <v>45358</v>
      </c>
      <c r="H445" s="15">
        <v>6265440202</v>
      </c>
      <c r="J445" s="30" t="s">
        <v>729</v>
      </c>
      <c r="K445" s="30" t="s">
        <v>981</v>
      </c>
      <c r="L445" s="30" t="s">
        <v>174</v>
      </c>
      <c r="M445" s="30" t="s">
        <v>625</v>
      </c>
      <c r="N445" s="30">
        <v>44</v>
      </c>
      <c r="O445" s="30">
        <v>168.99</v>
      </c>
      <c r="P445" s="108">
        <f t="shared" si="22"/>
        <v>7435.56</v>
      </c>
      <c r="R445" s="29"/>
      <c r="S445" s="31"/>
      <c r="T445" s="29"/>
      <c r="V445" s="30" t="s">
        <v>683</v>
      </c>
    </row>
    <row r="446" spans="1:25" s="30" customFormat="1" x14ac:dyDescent="0.25">
      <c r="A446" s="28">
        <v>431</v>
      </c>
      <c r="B446" s="29">
        <v>45531</v>
      </c>
      <c r="C446" s="29">
        <v>45357</v>
      </c>
      <c r="D446" s="30" t="s">
        <v>68</v>
      </c>
      <c r="E446" s="30" t="s">
        <v>980</v>
      </c>
      <c r="F446" s="30" t="s">
        <v>728</v>
      </c>
      <c r="G446" s="80">
        <f t="shared" si="23"/>
        <v>45358</v>
      </c>
      <c r="H446" s="15">
        <v>6265440202</v>
      </c>
      <c r="J446" s="30" t="s">
        <v>729</v>
      </c>
      <c r="K446" s="30" t="s">
        <v>981</v>
      </c>
      <c r="L446" s="30" t="s">
        <v>174</v>
      </c>
      <c r="M446" s="30" t="s">
        <v>626</v>
      </c>
      <c r="N446" s="30">
        <v>44</v>
      </c>
      <c r="O446" s="30">
        <v>168.99</v>
      </c>
      <c r="P446" s="108">
        <f t="shared" si="22"/>
        <v>7435.56</v>
      </c>
      <c r="R446" s="29"/>
      <c r="S446" s="31"/>
      <c r="T446" s="29"/>
      <c r="V446" s="30" t="s">
        <v>683</v>
      </c>
    </row>
    <row r="447" spans="1:25" s="25" customFormat="1" x14ac:dyDescent="0.25">
      <c r="A447" s="23">
        <v>432</v>
      </c>
      <c r="B447" s="24">
        <v>45531</v>
      </c>
      <c r="C447" s="24">
        <v>45391</v>
      </c>
      <c r="D447" s="25" t="s">
        <v>183</v>
      </c>
      <c r="E447" s="25" t="s">
        <v>901</v>
      </c>
      <c r="F447" s="25" t="s">
        <v>361</v>
      </c>
      <c r="G447" s="79">
        <v>45336</v>
      </c>
      <c r="H447" s="14">
        <v>9794912987</v>
      </c>
      <c r="J447" s="125" t="s">
        <v>1210</v>
      </c>
      <c r="K447" s="25" t="s">
        <v>1186</v>
      </c>
      <c r="L447" s="25" t="s">
        <v>144</v>
      </c>
      <c r="M447" s="25" t="s">
        <v>639</v>
      </c>
      <c r="N447" s="25">
        <v>4</v>
      </c>
      <c r="O447" s="25">
        <v>205.29</v>
      </c>
      <c r="P447" s="106">
        <v>262.44</v>
      </c>
      <c r="R447" s="24">
        <v>45540</v>
      </c>
      <c r="S447" s="26" t="s">
        <v>1389</v>
      </c>
      <c r="T447" s="24">
        <v>45562</v>
      </c>
      <c r="U447" s="25">
        <v>4</v>
      </c>
      <c r="V447" s="25" t="s">
        <v>683</v>
      </c>
      <c r="X447" s="25" t="s">
        <v>1238</v>
      </c>
    </row>
    <row r="448" spans="1:25" s="25" customFormat="1" x14ac:dyDescent="0.25">
      <c r="A448" s="23">
        <v>433</v>
      </c>
      <c r="B448" s="24">
        <v>45531</v>
      </c>
      <c r="C448" s="24">
        <v>45391</v>
      </c>
      <c r="D448" s="25" t="s">
        <v>183</v>
      </c>
      <c r="E448" s="25" t="s">
        <v>901</v>
      </c>
      <c r="F448" s="25" t="s">
        <v>361</v>
      </c>
      <c r="G448" s="79">
        <v>45336</v>
      </c>
      <c r="H448" s="14">
        <v>9794912987</v>
      </c>
      <c r="J448" s="125" t="s">
        <v>1210</v>
      </c>
      <c r="K448" s="25" t="s">
        <v>1186</v>
      </c>
      <c r="L448" s="25" t="s">
        <v>144</v>
      </c>
      <c r="M448" s="25" t="s">
        <v>608</v>
      </c>
      <c r="N448" s="25">
        <v>4</v>
      </c>
      <c r="O448" s="25">
        <v>205.29</v>
      </c>
      <c r="P448" s="106">
        <v>262.44</v>
      </c>
      <c r="R448" s="24">
        <v>45540</v>
      </c>
      <c r="S448" s="26" t="s">
        <v>1389</v>
      </c>
      <c r="T448" s="24">
        <v>45562</v>
      </c>
      <c r="U448" s="25">
        <v>4</v>
      </c>
      <c r="V448" s="25" t="s">
        <v>683</v>
      </c>
      <c r="X448" s="25" t="s">
        <v>1238</v>
      </c>
    </row>
    <row r="449" spans="1:25" s="25" customFormat="1" x14ac:dyDescent="0.25">
      <c r="A449" s="23">
        <v>434</v>
      </c>
      <c r="B449" s="24">
        <v>45531</v>
      </c>
      <c r="C449" s="24">
        <v>45391</v>
      </c>
      <c r="D449" s="25" t="s">
        <v>183</v>
      </c>
      <c r="E449" s="25" t="s">
        <v>901</v>
      </c>
      <c r="F449" s="25" t="s">
        <v>361</v>
      </c>
      <c r="G449" s="79">
        <v>45336</v>
      </c>
      <c r="H449" s="14">
        <v>9794912987</v>
      </c>
      <c r="J449" s="125" t="s">
        <v>1210</v>
      </c>
      <c r="K449" s="25" t="s">
        <v>1186</v>
      </c>
      <c r="L449" s="25" t="s">
        <v>144</v>
      </c>
      <c r="M449" s="25" t="s">
        <v>611</v>
      </c>
      <c r="N449" s="25">
        <v>4</v>
      </c>
      <c r="O449" s="25">
        <v>205.29</v>
      </c>
      <c r="P449" s="106">
        <v>262.44</v>
      </c>
      <c r="R449" s="24">
        <v>45540</v>
      </c>
      <c r="S449" s="26" t="s">
        <v>1389</v>
      </c>
      <c r="T449" s="24">
        <v>45562</v>
      </c>
      <c r="U449" s="25">
        <v>4</v>
      </c>
      <c r="V449" s="25" t="s">
        <v>683</v>
      </c>
      <c r="X449" s="25" t="s">
        <v>1238</v>
      </c>
    </row>
    <row r="450" spans="1:25" s="25" customFormat="1" x14ac:dyDescent="0.25">
      <c r="A450" s="23">
        <v>435</v>
      </c>
      <c r="B450" s="24">
        <v>45534</v>
      </c>
      <c r="C450" s="24">
        <v>45534</v>
      </c>
      <c r="D450" s="25" t="s">
        <v>263</v>
      </c>
      <c r="E450" s="25" t="s">
        <v>1372</v>
      </c>
      <c r="F450" s="25" t="s">
        <v>1373</v>
      </c>
      <c r="G450" s="79">
        <f t="shared" ref="G450:G473" si="24">_xlfn.IFNA(VLOOKUP(F450,TAX,2,FALSE), "NEED FORM")</f>
        <v>45470</v>
      </c>
      <c r="H450" s="266">
        <v>7703122298</v>
      </c>
      <c r="J450" s="25" t="s">
        <v>1374</v>
      </c>
      <c r="M450" s="25" t="s">
        <v>610</v>
      </c>
      <c r="N450" s="25">
        <v>3</v>
      </c>
      <c r="O450" s="285">
        <v>205.29</v>
      </c>
      <c r="P450" s="106">
        <f t="shared" ref="P450:P481" si="25">N450*O450+Q450</f>
        <v>634.35</v>
      </c>
      <c r="Q450" s="25">
        <v>18.48</v>
      </c>
      <c r="R450" s="24">
        <v>45552</v>
      </c>
      <c r="S450" s="26">
        <v>818111</v>
      </c>
      <c r="T450" s="24">
        <v>45573</v>
      </c>
      <c r="U450" s="25">
        <v>3</v>
      </c>
      <c r="V450" s="25" t="s">
        <v>1041</v>
      </c>
      <c r="W450" s="25" t="s">
        <v>24</v>
      </c>
      <c r="Y450" s="25" t="s">
        <v>1387</v>
      </c>
    </row>
    <row r="451" spans="1:25" s="25" customFormat="1" x14ac:dyDescent="0.25">
      <c r="A451" s="23">
        <v>436</v>
      </c>
      <c r="B451" s="24">
        <v>45534</v>
      </c>
      <c r="C451" s="24">
        <v>45534</v>
      </c>
      <c r="D451" s="25" t="s">
        <v>163</v>
      </c>
      <c r="E451" s="25" t="s">
        <v>1177</v>
      </c>
      <c r="F451" s="25" t="s">
        <v>667</v>
      </c>
      <c r="G451" s="79">
        <f t="shared" si="24"/>
        <v>45310</v>
      </c>
      <c r="H451" s="266">
        <v>4092423351</v>
      </c>
      <c r="J451" s="19" t="s">
        <v>668</v>
      </c>
      <c r="K451" s="25" t="s">
        <v>669</v>
      </c>
      <c r="L451" s="25" t="s">
        <v>144</v>
      </c>
      <c r="M451" s="25" t="s">
        <v>611</v>
      </c>
      <c r="N451" s="25">
        <v>3</v>
      </c>
      <c r="O451" s="25">
        <v>205.29</v>
      </c>
      <c r="P451" s="106">
        <f t="shared" si="25"/>
        <v>615.87</v>
      </c>
      <c r="R451" s="24">
        <v>45554</v>
      </c>
      <c r="S451" s="26" t="s">
        <v>1390</v>
      </c>
      <c r="T451" s="24">
        <v>45575</v>
      </c>
      <c r="U451" s="25">
        <v>3</v>
      </c>
      <c r="V451" s="25" t="s">
        <v>1034</v>
      </c>
    </row>
    <row r="452" spans="1:25" s="30" customFormat="1" x14ac:dyDescent="0.25">
      <c r="A452" s="28">
        <v>437</v>
      </c>
      <c r="B452" s="29">
        <v>45534</v>
      </c>
      <c r="C452" s="29">
        <v>45534</v>
      </c>
      <c r="D452" s="30" t="s">
        <v>281</v>
      </c>
      <c r="E452" s="30" t="s">
        <v>1391</v>
      </c>
      <c r="F452" s="30" t="s">
        <v>806</v>
      </c>
      <c r="G452" s="80">
        <f t="shared" si="24"/>
        <v>45425</v>
      </c>
      <c r="H452" s="15"/>
      <c r="J452" s="127" t="s">
        <v>1392</v>
      </c>
      <c r="M452" s="30" t="s">
        <v>611</v>
      </c>
      <c r="N452" s="30">
        <v>12</v>
      </c>
      <c r="O452" s="30">
        <v>200.62</v>
      </c>
      <c r="P452" s="108">
        <f t="shared" si="25"/>
        <v>2437.54</v>
      </c>
      <c r="Q452" s="30">
        <v>30.1</v>
      </c>
      <c r="R452" s="29">
        <v>45456</v>
      </c>
      <c r="S452" s="31">
        <v>4300862118</v>
      </c>
      <c r="T452" s="29">
        <v>45491</v>
      </c>
      <c r="U452" s="30">
        <v>5</v>
      </c>
      <c r="V452" s="30" t="s">
        <v>1041</v>
      </c>
      <c r="W452" s="30" t="s">
        <v>1164</v>
      </c>
      <c r="X452" s="30" t="s">
        <v>1313</v>
      </c>
      <c r="Y452" s="30" t="s">
        <v>1358</v>
      </c>
    </row>
    <row r="453" spans="1:25" s="25" customFormat="1" x14ac:dyDescent="0.25">
      <c r="A453" s="23">
        <v>438</v>
      </c>
      <c r="B453" s="24">
        <v>45534</v>
      </c>
      <c r="C453" s="24">
        <v>45534</v>
      </c>
      <c r="D453" s="25" t="s">
        <v>173</v>
      </c>
      <c r="E453" s="25" t="s">
        <v>194</v>
      </c>
      <c r="F453" s="25" t="s">
        <v>1393</v>
      </c>
      <c r="G453" s="79" t="str">
        <f t="shared" si="24"/>
        <v>NEED FORM</v>
      </c>
      <c r="H453" s="266">
        <v>6018332067</v>
      </c>
      <c r="J453" s="19" t="s">
        <v>1394</v>
      </c>
      <c r="K453" s="25" t="s">
        <v>1395</v>
      </c>
      <c r="L453" s="25" t="s">
        <v>92</v>
      </c>
      <c r="M453" s="25" t="s">
        <v>700</v>
      </c>
      <c r="N453" s="25">
        <v>2</v>
      </c>
      <c r="O453" s="25">
        <v>205.29</v>
      </c>
      <c r="P453" s="106">
        <f t="shared" si="25"/>
        <v>630.09999999999991</v>
      </c>
      <c r="Q453" s="25">
        <f>60+18.35+141.17</f>
        <v>219.51999999999998</v>
      </c>
      <c r="R453" s="24">
        <v>45539</v>
      </c>
      <c r="S453" s="26" t="s">
        <v>1396</v>
      </c>
      <c r="T453" s="24">
        <v>45546</v>
      </c>
      <c r="U453" s="25">
        <v>2</v>
      </c>
      <c r="V453" s="25" t="s">
        <v>1041</v>
      </c>
      <c r="W453" s="25" t="s">
        <v>1164</v>
      </c>
      <c r="X453" s="25" t="s">
        <v>1397</v>
      </c>
      <c r="Y453" s="25" t="s">
        <v>1398</v>
      </c>
    </row>
    <row r="454" spans="1:25" s="30" customFormat="1" x14ac:dyDescent="0.25">
      <c r="A454" s="28">
        <v>439</v>
      </c>
      <c r="B454" s="29">
        <v>45534</v>
      </c>
      <c r="C454" s="29">
        <v>45541</v>
      </c>
      <c r="D454" s="30" t="s">
        <v>1399</v>
      </c>
      <c r="E454" s="30" t="s">
        <v>179</v>
      </c>
      <c r="F454" s="30" t="s">
        <v>1400</v>
      </c>
      <c r="G454" s="80" t="str">
        <f t="shared" si="24"/>
        <v>NEED FORM</v>
      </c>
      <c r="H454" s="264">
        <v>8004584001</v>
      </c>
      <c r="J454" s="30" t="s">
        <v>1401</v>
      </c>
      <c r="M454" s="30" t="s">
        <v>639</v>
      </c>
      <c r="N454" s="30">
        <v>4</v>
      </c>
      <c r="O454" s="30">
        <v>205.29</v>
      </c>
      <c r="P454" s="107">
        <f t="shared" si="25"/>
        <v>821.16</v>
      </c>
      <c r="R454" s="29"/>
      <c r="S454" s="31"/>
      <c r="T454" s="29"/>
      <c r="W454" s="30" t="s">
        <v>1164</v>
      </c>
    </row>
    <row r="455" spans="1:25" s="30" customFormat="1" x14ac:dyDescent="0.25">
      <c r="A455" s="28">
        <v>440</v>
      </c>
      <c r="B455" s="29">
        <v>45534</v>
      </c>
      <c r="C455" s="29">
        <v>45541</v>
      </c>
      <c r="D455" s="30" t="s">
        <v>1399</v>
      </c>
      <c r="E455" s="30" t="s">
        <v>179</v>
      </c>
      <c r="F455" s="30" t="s">
        <v>1400</v>
      </c>
      <c r="G455" s="80" t="str">
        <f t="shared" si="24"/>
        <v>NEED FORM</v>
      </c>
      <c r="H455" s="264">
        <v>8004584001</v>
      </c>
      <c r="J455" s="30" t="s">
        <v>1401</v>
      </c>
      <c r="M455" s="30" t="s">
        <v>608</v>
      </c>
      <c r="N455" s="30">
        <v>4</v>
      </c>
      <c r="O455" s="30">
        <v>205.29</v>
      </c>
      <c r="P455" s="107">
        <f t="shared" si="25"/>
        <v>821.16</v>
      </c>
      <c r="R455" s="29"/>
      <c r="S455" s="31"/>
      <c r="T455" s="29"/>
      <c r="W455" s="30" t="s">
        <v>1164</v>
      </c>
    </row>
    <row r="456" spans="1:25" s="30" customFormat="1" x14ac:dyDescent="0.25">
      <c r="A456" s="28">
        <v>441</v>
      </c>
      <c r="B456" s="29">
        <v>45534</v>
      </c>
      <c r="C456" s="29">
        <v>45541</v>
      </c>
      <c r="D456" s="30" t="s">
        <v>1399</v>
      </c>
      <c r="E456" s="30" t="s">
        <v>179</v>
      </c>
      <c r="F456" s="30" t="s">
        <v>1400</v>
      </c>
      <c r="G456" s="80" t="str">
        <f t="shared" si="24"/>
        <v>NEED FORM</v>
      </c>
      <c r="H456" s="264">
        <v>8004584001</v>
      </c>
      <c r="J456" s="30" t="s">
        <v>1401</v>
      </c>
      <c r="M456" s="30" t="s">
        <v>611</v>
      </c>
      <c r="N456" s="30">
        <v>4</v>
      </c>
      <c r="O456" s="30">
        <v>205.29</v>
      </c>
      <c r="P456" s="107">
        <f t="shared" si="25"/>
        <v>821.16</v>
      </c>
      <c r="R456" s="29"/>
      <c r="S456" s="31"/>
      <c r="T456" s="29"/>
      <c r="W456" s="30" t="s">
        <v>1164</v>
      </c>
    </row>
    <row r="457" spans="1:25" s="30" customFormat="1" x14ac:dyDescent="0.25">
      <c r="A457" s="28">
        <v>442</v>
      </c>
      <c r="B457" s="29">
        <v>45534</v>
      </c>
      <c r="C457" s="29">
        <v>45541</v>
      </c>
      <c r="D457" s="30" t="s">
        <v>1402</v>
      </c>
      <c r="E457" s="30" t="s">
        <v>1403</v>
      </c>
      <c r="F457" s="30" t="s">
        <v>1404</v>
      </c>
      <c r="G457" s="80" t="str">
        <f t="shared" si="24"/>
        <v>NEED FORM</v>
      </c>
      <c r="H457" s="264"/>
      <c r="J457" s="120" t="s">
        <v>1405</v>
      </c>
      <c r="M457" s="30" t="s">
        <v>611</v>
      </c>
      <c r="N457" s="30">
        <v>5</v>
      </c>
      <c r="O457" s="30">
        <v>200.62</v>
      </c>
      <c r="P457" s="107">
        <f t="shared" si="25"/>
        <v>1003.1</v>
      </c>
      <c r="R457" s="29"/>
      <c r="S457" s="31"/>
      <c r="T457" s="29"/>
      <c r="W457" s="30" t="s">
        <v>1164</v>
      </c>
    </row>
    <row r="458" spans="1:25" s="30" customFormat="1" x14ac:dyDescent="0.25">
      <c r="A458" s="28">
        <v>443</v>
      </c>
      <c r="B458" s="29">
        <v>45534</v>
      </c>
      <c r="C458" s="29">
        <v>45541</v>
      </c>
      <c r="D458" s="30" t="s">
        <v>1402</v>
      </c>
      <c r="E458" s="30" t="s">
        <v>1403</v>
      </c>
      <c r="F458" s="30" t="s">
        <v>1404</v>
      </c>
      <c r="G458" s="80" t="str">
        <f t="shared" si="24"/>
        <v>NEED FORM</v>
      </c>
      <c r="H458" s="264"/>
      <c r="J458" s="120" t="s">
        <v>1405</v>
      </c>
      <c r="M458" s="30" t="s">
        <v>639</v>
      </c>
      <c r="N458" s="30">
        <v>3</v>
      </c>
      <c r="O458" s="30">
        <v>205.29</v>
      </c>
      <c r="P458" s="107">
        <f t="shared" si="25"/>
        <v>615.87</v>
      </c>
      <c r="R458" s="29"/>
      <c r="S458" s="31"/>
      <c r="T458" s="29"/>
      <c r="W458" s="30" t="s">
        <v>1164</v>
      </c>
    </row>
    <row r="459" spans="1:25" s="30" customFormat="1" x14ac:dyDescent="0.25">
      <c r="A459" s="28">
        <v>444</v>
      </c>
      <c r="B459" s="29">
        <v>45545</v>
      </c>
      <c r="C459" s="29">
        <v>45545</v>
      </c>
      <c r="D459" s="30" t="s">
        <v>335</v>
      </c>
      <c r="E459" s="30" t="s">
        <v>192</v>
      </c>
      <c r="F459" s="30" t="s">
        <v>1406</v>
      </c>
      <c r="G459" s="80" t="str">
        <f t="shared" si="24"/>
        <v>NEED FORM</v>
      </c>
      <c r="H459" s="264"/>
      <c r="J459" s="120" t="s">
        <v>1407</v>
      </c>
      <c r="M459" s="30" t="s">
        <v>610</v>
      </c>
      <c r="N459" s="30">
        <v>8</v>
      </c>
      <c r="O459" s="30">
        <v>200.62</v>
      </c>
      <c r="P459" s="107">
        <f t="shared" si="25"/>
        <v>1604.96</v>
      </c>
      <c r="R459" s="29"/>
      <c r="S459" s="31"/>
      <c r="T459" s="29"/>
      <c r="V459" s="30" t="s">
        <v>1041</v>
      </c>
      <c r="W459" s="30" t="s">
        <v>1164</v>
      </c>
    </row>
    <row r="460" spans="1:25" s="30" customFormat="1" x14ac:dyDescent="0.25">
      <c r="A460" s="28">
        <v>445</v>
      </c>
      <c r="B460" s="29">
        <v>45551</v>
      </c>
      <c r="C460" s="29">
        <v>45546</v>
      </c>
      <c r="D460" s="30" t="s">
        <v>1271</v>
      </c>
      <c r="E460" s="30" t="s">
        <v>1272</v>
      </c>
      <c r="F460" s="30" t="s">
        <v>615</v>
      </c>
      <c r="G460" s="80">
        <f t="shared" si="24"/>
        <v>45286</v>
      </c>
      <c r="H460" s="264"/>
      <c r="J460" s="120" t="s">
        <v>1408</v>
      </c>
      <c r="M460" s="30" t="s">
        <v>639</v>
      </c>
      <c r="N460" s="30">
        <v>2</v>
      </c>
      <c r="O460" s="30">
        <v>205.29</v>
      </c>
      <c r="P460" s="107">
        <f t="shared" si="25"/>
        <v>410.58</v>
      </c>
      <c r="R460" s="29"/>
      <c r="S460" s="31"/>
      <c r="T460" s="29"/>
      <c r="W460" s="30" t="s">
        <v>1164</v>
      </c>
    </row>
    <row r="461" spans="1:25" s="25" customFormat="1" x14ac:dyDescent="0.25">
      <c r="A461" s="23">
        <v>446</v>
      </c>
      <c r="B461" s="24">
        <v>45551</v>
      </c>
      <c r="C461" s="24">
        <v>45551</v>
      </c>
      <c r="D461" s="25" t="s">
        <v>68</v>
      </c>
      <c r="E461" s="25" t="s">
        <v>980</v>
      </c>
      <c r="F461" s="25" t="s">
        <v>728</v>
      </c>
      <c r="G461" s="79">
        <f t="shared" si="24"/>
        <v>45358</v>
      </c>
      <c r="H461" s="14">
        <v>6265440202</v>
      </c>
      <c r="J461" s="25" t="s">
        <v>729</v>
      </c>
      <c r="K461" s="25" t="s">
        <v>981</v>
      </c>
      <c r="L461" s="25" t="s">
        <v>174</v>
      </c>
      <c r="M461" s="25" t="s">
        <v>639</v>
      </c>
      <c r="N461" s="25">
        <v>80</v>
      </c>
      <c r="O461" s="25">
        <v>164.87</v>
      </c>
      <c r="P461" s="106">
        <f t="shared" si="25"/>
        <v>13189.6</v>
      </c>
      <c r="R461" s="24">
        <v>45567</v>
      </c>
      <c r="S461" s="26">
        <v>986434</v>
      </c>
      <c r="T461" s="24">
        <v>45588</v>
      </c>
      <c r="U461" s="25">
        <v>80</v>
      </c>
      <c r="V461" s="25" t="s">
        <v>683</v>
      </c>
    </row>
    <row r="462" spans="1:25" s="25" customFormat="1" x14ac:dyDescent="0.25">
      <c r="A462" s="23">
        <v>447</v>
      </c>
      <c r="B462" s="24">
        <v>45551</v>
      </c>
      <c r="C462" s="24">
        <v>45551</v>
      </c>
      <c r="D462" s="25" t="s">
        <v>68</v>
      </c>
      <c r="E462" s="25" t="s">
        <v>980</v>
      </c>
      <c r="F462" s="25" t="s">
        <v>728</v>
      </c>
      <c r="G462" s="79">
        <f t="shared" si="24"/>
        <v>45358</v>
      </c>
      <c r="H462" s="14">
        <v>6265440202</v>
      </c>
      <c r="J462" s="25" t="s">
        <v>729</v>
      </c>
      <c r="K462" s="25" t="s">
        <v>981</v>
      </c>
      <c r="L462" s="25" t="s">
        <v>174</v>
      </c>
      <c r="M462" s="25" t="s">
        <v>608</v>
      </c>
      <c r="N462" s="25">
        <v>80</v>
      </c>
      <c r="O462" s="25">
        <v>164.87</v>
      </c>
      <c r="P462" s="106">
        <f t="shared" si="25"/>
        <v>13189.6</v>
      </c>
      <c r="R462" s="24">
        <v>45567</v>
      </c>
      <c r="S462" s="26">
        <v>986434</v>
      </c>
      <c r="T462" s="24">
        <v>45588</v>
      </c>
      <c r="U462" s="25">
        <v>80</v>
      </c>
      <c r="V462" s="25" t="s">
        <v>683</v>
      </c>
    </row>
    <row r="463" spans="1:25" s="25" customFormat="1" x14ac:dyDescent="0.25">
      <c r="A463" s="23">
        <v>448</v>
      </c>
      <c r="B463" s="24">
        <v>45551</v>
      </c>
      <c r="C463" s="24">
        <v>45551</v>
      </c>
      <c r="D463" s="25" t="s">
        <v>68</v>
      </c>
      <c r="E463" s="25" t="s">
        <v>980</v>
      </c>
      <c r="F463" s="25" t="s">
        <v>728</v>
      </c>
      <c r="G463" s="79">
        <f t="shared" si="24"/>
        <v>45358</v>
      </c>
      <c r="H463" s="14">
        <v>6265440202</v>
      </c>
      <c r="J463" s="25" t="s">
        <v>729</v>
      </c>
      <c r="K463" s="25" t="s">
        <v>981</v>
      </c>
      <c r="L463" s="25" t="s">
        <v>174</v>
      </c>
      <c r="M463" s="25" t="s">
        <v>610</v>
      </c>
      <c r="N463" s="25">
        <v>80</v>
      </c>
      <c r="O463" s="25">
        <v>164.87</v>
      </c>
      <c r="P463" s="106">
        <f t="shared" si="25"/>
        <v>13189.6</v>
      </c>
      <c r="R463" s="24">
        <v>45567</v>
      </c>
      <c r="S463" s="26">
        <v>986434</v>
      </c>
      <c r="T463" s="24">
        <v>45588</v>
      </c>
      <c r="U463" s="25">
        <v>80</v>
      </c>
      <c r="V463" s="25" t="s">
        <v>683</v>
      </c>
    </row>
    <row r="464" spans="1:25" s="25" customFormat="1" x14ac:dyDescent="0.25">
      <c r="A464" s="23">
        <v>449</v>
      </c>
      <c r="B464" s="24">
        <v>45551</v>
      </c>
      <c r="C464" s="24">
        <v>45551</v>
      </c>
      <c r="D464" s="25" t="s">
        <v>68</v>
      </c>
      <c r="E464" s="25" t="s">
        <v>980</v>
      </c>
      <c r="F464" s="25" t="s">
        <v>728</v>
      </c>
      <c r="G464" s="79">
        <f t="shared" si="24"/>
        <v>45358</v>
      </c>
      <c r="H464" s="14">
        <v>6265440202</v>
      </c>
      <c r="J464" s="25" t="s">
        <v>729</v>
      </c>
      <c r="K464" s="25" t="s">
        <v>981</v>
      </c>
      <c r="L464" s="25" t="s">
        <v>174</v>
      </c>
      <c r="M464" s="25" t="s">
        <v>611</v>
      </c>
      <c r="N464" s="25">
        <v>80</v>
      </c>
      <c r="O464" s="25">
        <v>164.87</v>
      </c>
      <c r="P464" s="106">
        <f t="shared" si="25"/>
        <v>13189.6</v>
      </c>
      <c r="R464" s="24">
        <v>45567</v>
      </c>
      <c r="S464" s="26">
        <v>986434</v>
      </c>
      <c r="T464" s="24">
        <v>45588</v>
      </c>
      <c r="U464" s="25">
        <v>80</v>
      </c>
      <c r="V464" s="25" t="s">
        <v>683</v>
      </c>
    </row>
    <row r="465" spans="1:25" s="25" customFormat="1" x14ac:dyDescent="0.25">
      <c r="A465" s="23">
        <v>450</v>
      </c>
      <c r="B465" s="24">
        <v>45551</v>
      </c>
      <c r="C465" s="24">
        <v>45551</v>
      </c>
      <c r="D465" s="25" t="s">
        <v>68</v>
      </c>
      <c r="E465" s="25" t="s">
        <v>980</v>
      </c>
      <c r="F465" s="25" t="s">
        <v>728</v>
      </c>
      <c r="G465" s="79">
        <f t="shared" si="24"/>
        <v>45358</v>
      </c>
      <c r="H465" s="14">
        <v>6265440202</v>
      </c>
      <c r="J465" s="25" t="s">
        <v>729</v>
      </c>
      <c r="K465" s="25" t="s">
        <v>981</v>
      </c>
      <c r="L465" s="25" t="s">
        <v>174</v>
      </c>
      <c r="M465" s="25" t="s">
        <v>704</v>
      </c>
      <c r="N465" s="25">
        <v>36</v>
      </c>
      <c r="O465" s="25">
        <v>168.99</v>
      </c>
      <c r="P465" s="106">
        <f t="shared" si="25"/>
        <v>6083.64</v>
      </c>
      <c r="R465" s="24">
        <v>45567</v>
      </c>
      <c r="S465" s="26">
        <v>986434</v>
      </c>
      <c r="T465" s="24">
        <v>45588</v>
      </c>
      <c r="U465" s="25">
        <v>36</v>
      </c>
      <c r="V465" s="25" t="s">
        <v>683</v>
      </c>
    </row>
    <row r="466" spans="1:25" s="25" customFormat="1" x14ac:dyDescent="0.25">
      <c r="A466" s="23">
        <v>451</v>
      </c>
      <c r="B466" s="24">
        <v>45551</v>
      </c>
      <c r="C466" s="24">
        <v>45551</v>
      </c>
      <c r="D466" s="25" t="s">
        <v>68</v>
      </c>
      <c r="E466" s="25" t="s">
        <v>980</v>
      </c>
      <c r="F466" s="25" t="s">
        <v>728</v>
      </c>
      <c r="G466" s="79">
        <f t="shared" si="24"/>
        <v>45358</v>
      </c>
      <c r="H466" s="14">
        <v>6265440202</v>
      </c>
      <c r="J466" s="25" t="s">
        <v>729</v>
      </c>
      <c r="K466" s="25" t="s">
        <v>981</v>
      </c>
      <c r="L466" s="25" t="s">
        <v>174</v>
      </c>
      <c r="M466" s="25" t="s">
        <v>625</v>
      </c>
      <c r="N466" s="25">
        <v>36</v>
      </c>
      <c r="O466" s="25">
        <v>168.99</v>
      </c>
      <c r="P466" s="106">
        <f t="shared" si="25"/>
        <v>6083.64</v>
      </c>
      <c r="R466" s="24">
        <v>45567</v>
      </c>
      <c r="S466" s="26">
        <v>986434</v>
      </c>
      <c r="T466" s="24">
        <v>45588</v>
      </c>
      <c r="U466" s="25">
        <v>36</v>
      </c>
      <c r="V466" s="25" t="s">
        <v>683</v>
      </c>
    </row>
    <row r="467" spans="1:25" s="25" customFormat="1" x14ac:dyDescent="0.25">
      <c r="A467" s="23">
        <v>452</v>
      </c>
      <c r="B467" s="24">
        <v>45551</v>
      </c>
      <c r="C467" s="24">
        <v>45551</v>
      </c>
      <c r="D467" s="25" t="s">
        <v>68</v>
      </c>
      <c r="E467" s="25" t="s">
        <v>980</v>
      </c>
      <c r="F467" s="25" t="s">
        <v>728</v>
      </c>
      <c r="G467" s="79">
        <f t="shared" si="24"/>
        <v>45358</v>
      </c>
      <c r="H467" s="14">
        <v>6265440202</v>
      </c>
      <c r="J467" s="25" t="s">
        <v>729</v>
      </c>
      <c r="K467" s="25" t="s">
        <v>981</v>
      </c>
      <c r="L467" s="25" t="s">
        <v>174</v>
      </c>
      <c r="M467" s="25" t="s">
        <v>626</v>
      </c>
      <c r="N467" s="25">
        <v>36</v>
      </c>
      <c r="O467" s="25">
        <v>168.99</v>
      </c>
      <c r="P467" s="106">
        <f t="shared" si="25"/>
        <v>6083.64</v>
      </c>
      <c r="R467" s="24">
        <v>45567</v>
      </c>
      <c r="S467" s="26">
        <v>986434</v>
      </c>
      <c r="T467" s="24">
        <v>45588</v>
      </c>
      <c r="U467" s="25">
        <v>36</v>
      </c>
      <c r="V467" s="25" t="s">
        <v>683</v>
      </c>
    </row>
    <row r="468" spans="1:25" s="30" customFormat="1" x14ac:dyDescent="0.25">
      <c r="A468" s="28">
        <v>453</v>
      </c>
      <c r="B468" s="29">
        <v>45551</v>
      </c>
      <c r="C468" s="29">
        <v>45359</v>
      </c>
      <c r="D468" s="30" t="s">
        <v>1255</v>
      </c>
      <c r="E468" s="30" t="s">
        <v>1256</v>
      </c>
      <c r="F468" s="30" t="s">
        <v>1257</v>
      </c>
      <c r="G468" s="80" t="str">
        <f t="shared" si="24"/>
        <v>NEED FORM</v>
      </c>
      <c r="H468" s="264">
        <v>8329828560</v>
      </c>
      <c r="J468" s="120" t="s">
        <v>1258</v>
      </c>
      <c r="M468" s="30" t="s">
        <v>608</v>
      </c>
      <c r="N468" s="30">
        <v>14</v>
      </c>
      <c r="O468" s="30">
        <v>195.96</v>
      </c>
      <c r="P468" s="107">
        <f t="shared" si="25"/>
        <v>2743.44</v>
      </c>
      <c r="R468" s="29"/>
      <c r="S468" s="31"/>
      <c r="T468" s="29"/>
      <c r="V468" s="30" t="s">
        <v>1041</v>
      </c>
      <c r="W468" s="30" t="s">
        <v>1259</v>
      </c>
    </row>
    <row r="469" spans="1:25" s="25" customFormat="1" x14ac:dyDescent="0.25">
      <c r="A469" s="23">
        <v>454</v>
      </c>
      <c r="B469" s="24">
        <v>45553</v>
      </c>
      <c r="C469" s="24">
        <v>45553</v>
      </c>
      <c r="D469" s="25" t="s">
        <v>1409</v>
      </c>
      <c r="E469" s="25" t="s">
        <v>1410</v>
      </c>
      <c r="F469" s="25" t="s">
        <v>1411</v>
      </c>
      <c r="G469" s="79" t="str">
        <f t="shared" si="24"/>
        <v>NEED FORM</v>
      </c>
      <c r="H469" s="266">
        <v>5143348211</v>
      </c>
      <c r="J469" s="125" t="s">
        <v>1412</v>
      </c>
      <c r="K469" s="25" t="s">
        <v>1413</v>
      </c>
      <c r="L469" s="25" t="s">
        <v>440</v>
      </c>
      <c r="M469" s="25" t="s">
        <v>639</v>
      </c>
      <c r="N469" s="25">
        <v>3</v>
      </c>
      <c r="O469" s="25">
        <v>205.29</v>
      </c>
      <c r="P469" s="106">
        <f t="shared" si="25"/>
        <v>679.92</v>
      </c>
      <c r="Q469" s="25">
        <f>15+49.05</f>
        <v>64.05</v>
      </c>
      <c r="R469" s="24">
        <v>45562</v>
      </c>
      <c r="S469" s="26">
        <v>4139220</v>
      </c>
      <c r="T469" s="24">
        <v>45583</v>
      </c>
      <c r="U469" s="25">
        <v>3</v>
      </c>
      <c r="V469" s="25" t="s">
        <v>1041</v>
      </c>
      <c r="W469" s="25" t="s">
        <v>1164</v>
      </c>
    </row>
    <row r="470" spans="1:25" s="30" customFormat="1" x14ac:dyDescent="0.25">
      <c r="A470" s="28">
        <v>455</v>
      </c>
      <c r="B470" s="29">
        <v>45552</v>
      </c>
      <c r="C470" s="29">
        <v>45552</v>
      </c>
      <c r="D470" s="30" t="s">
        <v>509</v>
      </c>
      <c r="E470" s="30" t="s">
        <v>423</v>
      </c>
      <c r="G470" s="80" t="str">
        <f t="shared" si="24"/>
        <v>NEED FORM</v>
      </c>
      <c r="H470" s="264"/>
      <c r="P470" s="107">
        <f t="shared" si="25"/>
        <v>0</v>
      </c>
      <c r="R470" s="29"/>
      <c r="S470" s="31"/>
      <c r="T470" s="29"/>
    </row>
    <row r="471" spans="1:25" s="25" customFormat="1" x14ac:dyDescent="0.25">
      <c r="A471" s="23">
        <v>456</v>
      </c>
      <c r="B471" s="24">
        <v>45552</v>
      </c>
      <c r="C471" s="24">
        <v>45553</v>
      </c>
      <c r="D471" s="25" t="s">
        <v>1255</v>
      </c>
      <c r="E471" s="25" t="s">
        <v>1256</v>
      </c>
      <c r="F471" s="25" t="s">
        <v>1257</v>
      </c>
      <c r="G471" s="79" t="str">
        <f t="shared" si="24"/>
        <v>NEED FORM</v>
      </c>
      <c r="H471" s="266">
        <v>8329828560</v>
      </c>
      <c r="J471" s="125" t="s">
        <v>1258</v>
      </c>
      <c r="M471" s="25" t="s">
        <v>610</v>
      </c>
      <c r="N471" s="25">
        <v>28</v>
      </c>
      <c r="O471" s="25">
        <v>168.99</v>
      </c>
      <c r="P471" s="106">
        <f t="shared" si="25"/>
        <v>4731.72</v>
      </c>
      <c r="R471" s="24">
        <v>45594</v>
      </c>
      <c r="S471" s="26">
        <v>4900418785</v>
      </c>
      <c r="T471" s="24" t="s">
        <v>1414</v>
      </c>
      <c r="U471" s="25">
        <v>28</v>
      </c>
      <c r="V471" s="25" t="s">
        <v>683</v>
      </c>
      <c r="W471" s="25" t="s">
        <v>1259</v>
      </c>
    </row>
    <row r="472" spans="1:25" s="25" customFormat="1" x14ac:dyDescent="0.25">
      <c r="A472" s="23">
        <v>457</v>
      </c>
      <c r="B472" s="24">
        <v>45552</v>
      </c>
      <c r="C472" s="24">
        <v>45553</v>
      </c>
      <c r="D472" s="25" t="s">
        <v>1255</v>
      </c>
      <c r="E472" s="25" t="s">
        <v>1256</v>
      </c>
      <c r="F472" s="25" t="s">
        <v>1257</v>
      </c>
      <c r="G472" s="79" t="str">
        <f t="shared" si="24"/>
        <v>NEED FORM</v>
      </c>
      <c r="H472" s="266">
        <v>8329828560</v>
      </c>
      <c r="J472" s="125" t="s">
        <v>1258</v>
      </c>
      <c r="M472" s="25" t="s">
        <v>639</v>
      </c>
      <c r="N472" s="25">
        <v>1</v>
      </c>
      <c r="O472" s="25">
        <v>262.44</v>
      </c>
      <c r="P472" s="106">
        <f t="shared" si="25"/>
        <v>262.44</v>
      </c>
      <c r="R472" s="24">
        <v>45594</v>
      </c>
      <c r="S472" s="26">
        <v>4900418785</v>
      </c>
      <c r="T472" s="24" t="s">
        <v>1414</v>
      </c>
      <c r="U472" s="25">
        <v>1</v>
      </c>
      <c r="V472" s="25" t="s">
        <v>683</v>
      </c>
      <c r="W472" s="25" t="s">
        <v>1259</v>
      </c>
    </row>
    <row r="473" spans="1:25" s="25" customFormat="1" x14ac:dyDescent="0.25">
      <c r="A473" s="23">
        <v>458</v>
      </c>
      <c r="B473" s="24">
        <v>45552</v>
      </c>
      <c r="C473" s="24">
        <v>45553</v>
      </c>
      <c r="D473" s="25" t="s">
        <v>1255</v>
      </c>
      <c r="E473" s="25" t="s">
        <v>1256</v>
      </c>
      <c r="F473" s="25" t="s">
        <v>1257</v>
      </c>
      <c r="G473" s="79" t="str">
        <f t="shared" si="24"/>
        <v>NEED FORM</v>
      </c>
      <c r="H473" s="266">
        <v>8329828560</v>
      </c>
      <c r="J473" s="125" t="s">
        <v>1258</v>
      </c>
      <c r="M473" s="25" t="s">
        <v>608</v>
      </c>
      <c r="N473" s="25">
        <v>1</v>
      </c>
      <c r="O473" s="25">
        <v>262.44</v>
      </c>
      <c r="P473" s="106">
        <f t="shared" si="25"/>
        <v>262.44</v>
      </c>
      <c r="R473" s="24">
        <v>45594</v>
      </c>
      <c r="S473" s="26">
        <v>4900418785</v>
      </c>
      <c r="T473" s="24" t="s">
        <v>1414</v>
      </c>
      <c r="U473" s="25">
        <v>1</v>
      </c>
      <c r="V473" s="25" t="s">
        <v>683</v>
      </c>
      <c r="W473" s="25" t="s">
        <v>1259</v>
      </c>
    </row>
    <row r="474" spans="1:25" s="25" customFormat="1" ht="14.45" customHeight="1" x14ac:dyDescent="0.25">
      <c r="A474" s="23">
        <v>459</v>
      </c>
      <c r="B474" s="24">
        <v>45554</v>
      </c>
      <c r="C474" s="24">
        <v>45554</v>
      </c>
      <c r="D474" s="25" t="s">
        <v>1415</v>
      </c>
      <c r="E474" s="25" t="s">
        <v>1416</v>
      </c>
      <c r="F474" s="25" t="s">
        <v>652</v>
      </c>
      <c r="G474" s="79">
        <v>8821</v>
      </c>
      <c r="H474" s="14">
        <v>4506521800</v>
      </c>
      <c r="J474" s="19" t="s">
        <v>1417</v>
      </c>
      <c r="K474" s="27" t="s">
        <v>1418</v>
      </c>
      <c r="L474" s="25" t="s">
        <v>440</v>
      </c>
      <c r="M474" s="25" t="s">
        <v>610</v>
      </c>
      <c r="N474" s="25">
        <v>5</v>
      </c>
      <c r="O474" s="25">
        <v>200.62</v>
      </c>
      <c r="P474" s="106">
        <f t="shared" si="25"/>
        <v>1028.0999999999999</v>
      </c>
      <c r="Q474" s="25">
        <v>25</v>
      </c>
      <c r="R474" s="24">
        <v>45554</v>
      </c>
      <c r="S474" s="26" t="s">
        <v>1419</v>
      </c>
      <c r="T474" s="24">
        <v>45576</v>
      </c>
      <c r="V474" s="25" t="s">
        <v>1034</v>
      </c>
      <c r="W474" s="25">
        <v>5</v>
      </c>
      <c r="X474" s="25" t="s">
        <v>1061</v>
      </c>
    </row>
    <row r="475" spans="1:25" s="25" customFormat="1" x14ac:dyDescent="0.25">
      <c r="A475" s="23">
        <v>460</v>
      </c>
      <c r="B475" s="24">
        <v>45565</v>
      </c>
      <c r="C475" s="24">
        <v>45565</v>
      </c>
      <c r="D475" s="25" t="s">
        <v>137</v>
      </c>
      <c r="E475" s="25" t="s">
        <v>1420</v>
      </c>
      <c r="F475" s="25" t="s">
        <v>965</v>
      </c>
      <c r="G475" s="79" t="str">
        <f t="shared" ref="G475:G496" si="26">_xlfn.IFNA(VLOOKUP(F475,TAX,2,FALSE), "NEED FORM")</f>
        <v>NEED FORM</v>
      </c>
      <c r="H475" s="14">
        <v>7205737664</v>
      </c>
      <c r="J475" s="25" t="s">
        <v>1421</v>
      </c>
      <c r="K475" s="25" t="s">
        <v>921</v>
      </c>
      <c r="L475" s="25" t="s">
        <v>1422</v>
      </c>
      <c r="M475" s="25" t="s">
        <v>610</v>
      </c>
      <c r="N475" s="25">
        <v>4</v>
      </c>
      <c r="O475" s="25">
        <v>205.29</v>
      </c>
      <c r="P475" s="106">
        <f t="shared" si="25"/>
        <v>821.16</v>
      </c>
      <c r="R475" s="24">
        <v>45602</v>
      </c>
      <c r="S475" s="26" t="s">
        <v>1423</v>
      </c>
      <c r="T475" s="24">
        <v>45623</v>
      </c>
      <c r="V475" s="25" t="s">
        <v>968</v>
      </c>
      <c r="W475" s="25" t="s">
        <v>1041</v>
      </c>
      <c r="Y475" s="25" t="s">
        <v>968</v>
      </c>
    </row>
    <row r="476" spans="1:25" s="30" customFormat="1" x14ac:dyDescent="0.25">
      <c r="A476" s="28">
        <v>461</v>
      </c>
      <c r="B476" s="29">
        <v>45569</v>
      </c>
      <c r="C476" s="29">
        <v>45569</v>
      </c>
      <c r="D476" s="30" t="s">
        <v>1031</v>
      </c>
      <c r="E476" s="30" t="s">
        <v>1032</v>
      </c>
      <c r="F476" s="30" t="s">
        <v>788</v>
      </c>
      <c r="G476" s="80">
        <f t="shared" si="26"/>
        <v>45597</v>
      </c>
      <c r="H476" s="15">
        <v>7576154137</v>
      </c>
      <c r="J476" s="30" t="s">
        <v>1033</v>
      </c>
      <c r="K476" s="30" t="s">
        <v>790</v>
      </c>
      <c r="L476" s="30" t="s">
        <v>416</v>
      </c>
      <c r="M476" s="30" t="s">
        <v>639</v>
      </c>
      <c r="N476" s="30">
        <v>9</v>
      </c>
      <c r="O476" s="30">
        <v>200.62</v>
      </c>
      <c r="P476" s="108">
        <f t="shared" si="25"/>
        <v>1805.58</v>
      </c>
      <c r="R476" s="29"/>
      <c r="S476" s="31"/>
      <c r="T476" s="29"/>
      <c r="V476" s="30" t="s">
        <v>1034</v>
      </c>
      <c r="W476" s="30" t="s">
        <v>1164</v>
      </c>
    </row>
    <row r="477" spans="1:25" s="30" customFormat="1" x14ac:dyDescent="0.25">
      <c r="A477" s="28">
        <v>462</v>
      </c>
      <c r="B477" s="29">
        <v>45569</v>
      </c>
      <c r="C477" s="29">
        <v>45569</v>
      </c>
      <c r="D477" s="130" t="s">
        <v>244</v>
      </c>
      <c r="E477" s="30" t="s">
        <v>1006</v>
      </c>
      <c r="F477" s="30" t="s">
        <v>641</v>
      </c>
      <c r="G477" s="80">
        <f t="shared" si="26"/>
        <v>45359</v>
      </c>
      <c r="H477" s="15">
        <v>3618822564</v>
      </c>
      <c r="I477" s="30">
        <v>253</v>
      </c>
      <c r="J477" s="30" t="s">
        <v>1007</v>
      </c>
      <c r="K477" s="30" t="s">
        <v>643</v>
      </c>
      <c r="L477" s="30" t="s">
        <v>144</v>
      </c>
      <c r="M477" s="30" t="s">
        <v>639</v>
      </c>
      <c r="N477" s="30">
        <v>2</v>
      </c>
      <c r="O477" s="30">
        <v>205.29</v>
      </c>
      <c r="P477" s="108">
        <f t="shared" si="25"/>
        <v>410.58</v>
      </c>
      <c r="R477" s="29"/>
      <c r="S477" s="31"/>
      <c r="T477" s="29"/>
      <c r="V477" s="30" t="s">
        <v>803</v>
      </c>
    </row>
    <row r="478" spans="1:25" s="30" customFormat="1" x14ac:dyDescent="0.25">
      <c r="A478" s="28">
        <v>463</v>
      </c>
      <c r="B478" s="29">
        <v>45573</v>
      </c>
      <c r="C478" s="29">
        <v>45573</v>
      </c>
      <c r="D478" s="30" t="s">
        <v>159</v>
      </c>
      <c r="E478" s="30" t="s">
        <v>1424</v>
      </c>
      <c r="F478" s="30" t="s">
        <v>816</v>
      </c>
      <c r="G478" s="80">
        <f t="shared" si="26"/>
        <v>44562</v>
      </c>
      <c r="H478" s="15">
        <v>6517698189</v>
      </c>
      <c r="J478" s="127" t="s">
        <v>1425</v>
      </c>
      <c r="K478" s="30" t="s">
        <v>819</v>
      </c>
      <c r="L478" s="30" t="s">
        <v>306</v>
      </c>
      <c r="M478" s="30" t="s">
        <v>639</v>
      </c>
      <c r="N478" s="30">
        <v>7</v>
      </c>
      <c r="O478" s="30">
        <v>206.64</v>
      </c>
      <c r="P478" s="108">
        <f t="shared" si="25"/>
        <v>1446.48</v>
      </c>
      <c r="Q478" s="46"/>
      <c r="R478" s="29"/>
      <c r="S478" s="31"/>
      <c r="T478" s="29"/>
      <c r="V478" s="30" t="s">
        <v>803</v>
      </c>
      <c r="X478" s="30" t="s">
        <v>1426</v>
      </c>
    </row>
    <row r="479" spans="1:25" s="30" customFormat="1" x14ac:dyDescent="0.25">
      <c r="A479" s="28">
        <v>464</v>
      </c>
      <c r="B479" s="29">
        <v>45575</v>
      </c>
      <c r="C479" s="29">
        <v>45575</v>
      </c>
      <c r="D479" s="30" t="s">
        <v>1128</v>
      </c>
      <c r="E479" s="30" t="s">
        <v>1427</v>
      </c>
      <c r="F479" s="30" t="s">
        <v>615</v>
      </c>
      <c r="G479" s="80">
        <f t="shared" si="26"/>
        <v>45286</v>
      </c>
      <c r="H479" s="264"/>
      <c r="J479" s="120" t="s">
        <v>1408</v>
      </c>
      <c r="M479" s="30" t="s">
        <v>611</v>
      </c>
      <c r="N479" s="30">
        <v>2</v>
      </c>
      <c r="O479" s="30">
        <v>211.44</v>
      </c>
      <c r="P479" s="107">
        <f t="shared" si="25"/>
        <v>422.88</v>
      </c>
      <c r="R479" s="29"/>
      <c r="S479" s="31"/>
      <c r="T479" s="29"/>
      <c r="W479" s="30" t="s">
        <v>1164</v>
      </c>
    </row>
    <row r="480" spans="1:25" s="30" customFormat="1" x14ac:dyDescent="0.25">
      <c r="A480" s="28">
        <v>465</v>
      </c>
      <c r="B480" s="29">
        <v>45575</v>
      </c>
      <c r="C480" s="29">
        <v>45575</v>
      </c>
      <c r="D480" s="30" t="s">
        <v>234</v>
      </c>
      <c r="E480" s="30" t="s">
        <v>877</v>
      </c>
      <c r="F480" s="30" t="s">
        <v>361</v>
      </c>
      <c r="G480" s="80">
        <f t="shared" si="26"/>
        <v>45336</v>
      </c>
      <c r="H480" s="15">
        <v>7143677024</v>
      </c>
      <c r="J480" t="s">
        <v>878</v>
      </c>
      <c r="K480" s="30" t="s">
        <v>879</v>
      </c>
      <c r="L480" s="30" t="s">
        <v>174</v>
      </c>
      <c r="M480" s="30" t="s">
        <v>610</v>
      </c>
      <c r="N480" s="30">
        <v>30</v>
      </c>
      <c r="O480" s="30">
        <v>174.06</v>
      </c>
      <c r="P480" s="108">
        <f t="shared" si="25"/>
        <v>5221.8</v>
      </c>
      <c r="R480" s="29"/>
      <c r="S480" s="31"/>
      <c r="T480" s="29"/>
      <c r="V480" s="30" t="s">
        <v>683</v>
      </c>
    </row>
    <row r="481" spans="1:25" s="25" customFormat="1" ht="14.1" customHeight="1" x14ac:dyDescent="0.25">
      <c r="A481" s="23">
        <v>466</v>
      </c>
      <c r="B481" s="24">
        <v>45580</v>
      </c>
      <c r="C481" s="24">
        <v>45580</v>
      </c>
      <c r="D481" s="25" t="s">
        <v>1428</v>
      </c>
      <c r="E481" s="25" t="s">
        <v>236</v>
      </c>
      <c r="F481" s="25" t="s">
        <v>713</v>
      </c>
      <c r="G481" s="79" t="str">
        <f t="shared" si="26"/>
        <v>Requested</v>
      </c>
      <c r="H481" s="14" t="s">
        <v>1429</v>
      </c>
      <c r="J481" s="25" t="s">
        <v>1430</v>
      </c>
      <c r="K481" s="25" t="s">
        <v>1431</v>
      </c>
      <c r="L481" s="25" t="s">
        <v>913</v>
      </c>
      <c r="M481" s="25" t="s">
        <v>610</v>
      </c>
      <c r="N481" s="25">
        <v>50</v>
      </c>
      <c r="O481" s="25">
        <v>169.81</v>
      </c>
      <c r="P481" s="106">
        <f t="shared" si="25"/>
        <v>8555.5</v>
      </c>
      <c r="Q481" s="25">
        <v>65</v>
      </c>
      <c r="R481" s="24">
        <v>45582</v>
      </c>
      <c r="S481" s="26" t="s">
        <v>1432</v>
      </c>
      <c r="T481" s="24">
        <v>45602</v>
      </c>
      <c r="U481" s="25">
        <v>50</v>
      </c>
    </row>
    <row r="482" spans="1:25" s="30" customFormat="1" x14ac:dyDescent="0.25">
      <c r="A482" s="28">
        <v>467</v>
      </c>
      <c r="B482" s="29">
        <v>45582</v>
      </c>
      <c r="C482" s="29">
        <v>45582</v>
      </c>
      <c r="D482" s="30" t="s">
        <v>1433</v>
      </c>
      <c r="E482" s="30" t="s">
        <v>1434</v>
      </c>
      <c r="F482" s="30" t="s">
        <v>1435</v>
      </c>
      <c r="G482" s="80" t="str">
        <f t="shared" si="26"/>
        <v>NEED FORM</v>
      </c>
      <c r="H482" s="264"/>
      <c r="J482" s="120" t="s">
        <v>1436</v>
      </c>
      <c r="K482" s="30" t="s">
        <v>1437</v>
      </c>
      <c r="L482" s="30" t="s">
        <v>110</v>
      </c>
      <c r="M482" s="30" t="s">
        <v>639</v>
      </c>
      <c r="N482" s="30">
        <v>2</v>
      </c>
      <c r="O482" s="30">
        <v>211.44</v>
      </c>
      <c r="P482" s="107">
        <f t="shared" ref="P482:P510" si="27">N482*O482+Q482</f>
        <v>422.88</v>
      </c>
      <c r="R482" s="29"/>
      <c r="S482" s="31"/>
      <c r="T482" s="29"/>
    </row>
    <row r="483" spans="1:25" s="25" customFormat="1" x14ac:dyDescent="0.25">
      <c r="A483" s="23">
        <v>468</v>
      </c>
      <c r="B483" s="24">
        <v>45582</v>
      </c>
      <c r="C483" s="24">
        <v>45582</v>
      </c>
      <c r="D483" s="25" t="s">
        <v>1433</v>
      </c>
      <c r="E483" s="25" t="s">
        <v>1434</v>
      </c>
      <c r="F483" s="25" t="s">
        <v>1435</v>
      </c>
      <c r="G483" s="79" t="str">
        <f t="shared" si="26"/>
        <v>NEED FORM</v>
      </c>
      <c r="H483" s="266"/>
      <c r="J483" s="125" t="s">
        <v>1436</v>
      </c>
      <c r="K483" s="25" t="s">
        <v>1437</v>
      </c>
      <c r="L483" s="25" t="s">
        <v>110</v>
      </c>
      <c r="M483" s="25" t="s">
        <v>610</v>
      </c>
      <c r="N483" s="25">
        <v>2</v>
      </c>
      <c r="O483" s="25">
        <v>211.44</v>
      </c>
      <c r="P483" s="106">
        <f t="shared" si="27"/>
        <v>487.88</v>
      </c>
      <c r="Q483" s="25">
        <v>65</v>
      </c>
      <c r="R483" s="24">
        <v>45583</v>
      </c>
      <c r="S483" s="26" t="s">
        <v>1438</v>
      </c>
      <c r="T483" s="24">
        <v>45604</v>
      </c>
      <c r="U483" s="25">
        <v>2</v>
      </c>
      <c r="V483" s="25" t="s">
        <v>1041</v>
      </c>
      <c r="W483" s="25" t="s">
        <v>1164</v>
      </c>
      <c r="Y483" s="25" t="s">
        <v>1439</v>
      </c>
    </row>
    <row r="484" spans="1:25" s="25" customFormat="1" x14ac:dyDescent="0.25">
      <c r="A484" s="23">
        <v>469</v>
      </c>
      <c r="B484" s="24">
        <v>45582</v>
      </c>
      <c r="C484" s="24">
        <v>45582</v>
      </c>
      <c r="D484" s="25" t="s">
        <v>1433</v>
      </c>
      <c r="E484" s="25" t="s">
        <v>1434</v>
      </c>
      <c r="F484" s="25" t="s">
        <v>1435</v>
      </c>
      <c r="G484" s="79" t="str">
        <f t="shared" si="26"/>
        <v>NEED FORM</v>
      </c>
      <c r="H484" s="266"/>
      <c r="J484" s="125" t="s">
        <v>1436</v>
      </c>
      <c r="K484" s="25" t="s">
        <v>1437</v>
      </c>
      <c r="L484" s="25" t="s">
        <v>110</v>
      </c>
      <c r="M484" s="25" t="s">
        <v>611</v>
      </c>
      <c r="N484" s="25">
        <v>2</v>
      </c>
      <c r="O484" s="25">
        <v>211.44</v>
      </c>
      <c r="P484" s="106">
        <f t="shared" si="27"/>
        <v>422.88</v>
      </c>
      <c r="R484" s="24">
        <v>45583</v>
      </c>
      <c r="S484" s="26" t="s">
        <v>1438</v>
      </c>
      <c r="T484" s="24">
        <v>45604</v>
      </c>
      <c r="U484" s="25">
        <v>2</v>
      </c>
      <c r="V484" s="25" t="s">
        <v>1041</v>
      </c>
      <c r="W484" s="25" t="s">
        <v>1164</v>
      </c>
    </row>
    <row r="485" spans="1:25" s="25" customFormat="1" x14ac:dyDescent="0.25">
      <c r="A485" s="23">
        <v>470</v>
      </c>
      <c r="B485" s="24">
        <v>45582</v>
      </c>
      <c r="C485" s="24">
        <v>45582</v>
      </c>
      <c r="D485" s="25" t="s">
        <v>1440</v>
      </c>
      <c r="E485" s="25" t="s">
        <v>1441</v>
      </c>
      <c r="F485" s="238" t="s">
        <v>1435</v>
      </c>
      <c r="G485" s="317" t="str">
        <f t="shared" si="26"/>
        <v>NEED FORM</v>
      </c>
      <c r="H485" s="318">
        <v>9187047380</v>
      </c>
      <c r="I485" s="238"/>
      <c r="J485" s="125" t="s">
        <v>1442</v>
      </c>
      <c r="K485" s="238" t="s">
        <v>1443</v>
      </c>
      <c r="L485" s="238" t="s">
        <v>367</v>
      </c>
      <c r="M485" s="238" t="s">
        <v>704</v>
      </c>
      <c r="N485" s="238">
        <v>2</v>
      </c>
      <c r="O485" s="238">
        <v>211.44</v>
      </c>
      <c r="P485" s="106">
        <f t="shared" si="27"/>
        <v>517.88</v>
      </c>
      <c r="Q485" s="25">
        <v>95</v>
      </c>
      <c r="R485" s="24">
        <v>45610</v>
      </c>
      <c r="S485" s="26" t="s">
        <v>1444</v>
      </c>
      <c r="T485" s="24">
        <v>45610</v>
      </c>
      <c r="U485" s="25">
        <v>2</v>
      </c>
      <c r="V485" s="25" t="s">
        <v>1041</v>
      </c>
      <c r="W485" s="25" t="s">
        <v>1164</v>
      </c>
    </row>
    <row r="486" spans="1:25" s="25" customFormat="1" x14ac:dyDescent="0.25">
      <c r="A486" s="23">
        <v>471</v>
      </c>
      <c r="B486" s="24">
        <v>45582</v>
      </c>
      <c r="C486" s="24">
        <v>45582</v>
      </c>
      <c r="D486" s="25" t="s">
        <v>1440</v>
      </c>
      <c r="E486" s="25" t="s">
        <v>1441</v>
      </c>
      <c r="F486" s="238" t="s">
        <v>1435</v>
      </c>
      <c r="G486" s="317" t="str">
        <f t="shared" ref="G486:G487" si="28">_xlfn.IFNA(VLOOKUP(F486,TAX,2,FALSE), "NEED FORM")</f>
        <v>NEED FORM</v>
      </c>
      <c r="H486" s="318">
        <v>9187047380</v>
      </c>
      <c r="I486" s="238"/>
      <c r="J486" s="125" t="s">
        <v>1442</v>
      </c>
      <c r="K486" s="238" t="s">
        <v>1443</v>
      </c>
      <c r="L486" s="238" t="s">
        <v>367</v>
      </c>
      <c r="M486" s="25" t="s">
        <v>625</v>
      </c>
      <c r="N486" s="25">
        <v>2</v>
      </c>
      <c r="O486" s="25">
        <v>211.44</v>
      </c>
      <c r="P486" s="106">
        <f t="shared" ref="P486" si="29">N486*O486+Q486</f>
        <v>1104.7</v>
      </c>
      <c r="Q486" s="25">
        <v>681.82</v>
      </c>
      <c r="R486" s="24">
        <v>45610</v>
      </c>
      <c r="S486" s="26" t="s">
        <v>1444</v>
      </c>
      <c r="T486" s="24">
        <v>45610</v>
      </c>
      <c r="U486" s="25">
        <v>2</v>
      </c>
      <c r="V486" s="25" t="s">
        <v>1041</v>
      </c>
      <c r="W486" s="25" t="s">
        <v>1164</v>
      </c>
    </row>
    <row r="487" spans="1:25" s="25" customFormat="1" x14ac:dyDescent="0.25">
      <c r="A487" s="23">
        <v>471</v>
      </c>
      <c r="B487" s="24">
        <v>45582</v>
      </c>
      <c r="C487" s="24">
        <v>45582</v>
      </c>
      <c r="D487" s="25" t="s">
        <v>1440</v>
      </c>
      <c r="E487" s="25" t="s">
        <v>1441</v>
      </c>
      <c r="F487" s="238" t="s">
        <v>1435</v>
      </c>
      <c r="G487" s="317" t="str">
        <f t="shared" si="28"/>
        <v>NEED FORM</v>
      </c>
      <c r="H487" s="318">
        <v>9187047380</v>
      </c>
      <c r="I487" s="238"/>
      <c r="J487" s="125" t="s">
        <v>1442</v>
      </c>
      <c r="K487" s="238" t="s">
        <v>1443</v>
      </c>
      <c r="L487" s="238" t="s">
        <v>367</v>
      </c>
      <c r="M487" s="25" t="s">
        <v>626</v>
      </c>
      <c r="N487" s="25">
        <v>2</v>
      </c>
      <c r="O487" s="25">
        <v>211.44</v>
      </c>
      <c r="P487" s="106">
        <f t="shared" si="27"/>
        <v>422.88</v>
      </c>
      <c r="R487" s="24">
        <v>45610</v>
      </c>
      <c r="S487" s="26" t="s">
        <v>1444</v>
      </c>
      <c r="T487" s="24">
        <v>45610</v>
      </c>
      <c r="U487" s="25">
        <v>2</v>
      </c>
      <c r="V487" s="25" t="s">
        <v>1041</v>
      </c>
      <c r="W487" s="25" t="s">
        <v>1164</v>
      </c>
    </row>
    <row r="488" spans="1:25" s="25" customFormat="1" x14ac:dyDescent="0.25">
      <c r="A488" s="23">
        <v>472</v>
      </c>
      <c r="B488" s="24">
        <v>45582</v>
      </c>
      <c r="C488" s="24">
        <v>45582</v>
      </c>
      <c r="D488" s="25" t="s">
        <v>87</v>
      </c>
      <c r="E488" s="25" t="s">
        <v>128</v>
      </c>
      <c r="F488" s="25" t="s">
        <v>1251</v>
      </c>
      <c r="G488" s="79">
        <f t="shared" si="26"/>
        <v>45411</v>
      </c>
      <c r="H488" s="266">
        <v>6096518511</v>
      </c>
      <c r="J488" s="243" t="s">
        <v>1252</v>
      </c>
      <c r="K488" s="25" t="s">
        <v>297</v>
      </c>
      <c r="L488" s="25" t="s">
        <v>96</v>
      </c>
      <c r="M488" s="25" t="s">
        <v>610</v>
      </c>
      <c r="N488" s="25">
        <v>8</v>
      </c>
      <c r="O488" s="25">
        <v>206.64</v>
      </c>
      <c r="P488" s="106">
        <f t="shared" si="27"/>
        <v>1653.12</v>
      </c>
      <c r="R488" s="24">
        <v>45595</v>
      </c>
      <c r="S488" s="26">
        <v>20245808</v>
      </c>
      <c r="T488" s="24">
        <v>45617</v>
      </c>
      <c r="U488" s="25">
        <v>8</v>
      </c>
      <c r="V488" s="25" t="s">
        <v>1298</v>
      </c>
      <c r="X488" s="25" t="s">
        <v>1299</v>
      </c>
    </row>
    <row r="489" spans="1:25" s="25" customFormat="1" x14ac:dyDescent="0.25">
      <c r="A489" s="23">
        <v>473</v>
      </c>
      <c r="B489" s="24">
        <v>45582</v>
      </c>
      <c r="C489" s="24">
        <v>45582</v>
      </c>
      <c r="D489" s="25" t="s">
        <v>87</v>
      </c>
      <c r="E489" s="25" t="s">
        <v>128</v>
      </c>
      <c r="F489" s="25" t="s">
        <v>1251</v>
      </c>
      <c r="G489" s="79">
        <f t="shared" si="26"/>
        <v>45411</v>
      </c>
      <c r="H489" s="266">
        <v>6096518511</v>
      </c>
      <c r="J489" s="243" t="s">
        <v>1252</v>
      </c>
      <c r="K489" s="25" t="s">
        <v>297</v>
      </c>
      <c r="L489" s="25" t="s">
        <v>96</v>
      </c>
      <c r="M489" s="25" t="s">
        <v>611</v>
      </c>
      <c r="N489" s="25">
        <v>1</v>
      </c>
      <c r="O489" s="25">
        <v>270.31</v>
      </c>
      <c r="P489" s="106">
        <f t="shared" si="27"/>
        <v>270.31</v>
      </c>
      <c r="R489" s="24">
        <v>45595</v>
      </c>
      <c r="S489" s="26">
        <v>20245808</v>
      </c>
      <c r="T489" s="24">
        <v>45617</v>
      </c>
      <c r="U489" s="25">
        <v>1</v>
      </c>
      <c r="V489" s="25" t="s">
        <v>1298</v>
      </c>
      <c r="X489" s="25" t="s">
        <v>1299</v>
      </c>
    </row>
    <row r="490" spans="1:25" s="25" customFormat="1" x14ac:dyDescent="0.25">
      <c r="A490" s="23">
        <v>474</v>
      </c>
      <c r="B490" s="24">
        <v>45582</v>
      </c>
      <c r="C490" s="24">
        <v>45582</v>
      </c>
      <c r="D490" s="25" t="s">
        <v>87</v>
      </c>
      <c r="E490" s="25" t="s">
        <v>128</v>
      </c>
      <c r="F490" s="25" t="s">
        <v>1251</v>
      </c>
      <c r="G490" s="79">
        <f t="shared" si="26"/>
        <v>45411</v>
      </c>
      <c r="H490" s="266">
        <v>6096518511</v>
      </c>
      <c r="J490" s="243" t="s">
        <v>1252</v>
      </c>
      <c r="K490" s="25" t="s">
        <v>297</v>
      </c>
      <c r="L490" s="25" t="s">
        <v>96</v>
      </c>
      <c r="M490" s="25" t="s">
        <v>723</v>
      </c>
      <c r="N490" s="25">
        <v>1</v>
      </c>
      <c r="O490" s="25">
        <v>270.31</v>
      </c>
      <c r="P490" s="106">
        <f t="shared" si="27"/>
        <v>270.31</v>
      </c>
      <c r="R490" s="24">
        <v>45595</v>
      </c>
      <c r="S490" s="26">
        <v>20245808</v>
      </c>
      <c r="T490" s="24">
        <v>45617</v>
      </c>
      <c r="U490" s="25">
        <v>1</v>
      </c>
      <c r="V490" s="25" t="s">
        <v>1298</v>
      </c>
      <c r="X490" s="25" t="s">
        <v>1299</v>
      </c>
    </row>
    <row r="491" spans="1:25" s="25" customFormat="1" x14ac:dyDescent="0.25">
      <c r="A491" s="23">
        <v>475</v>
      </c>
      <c r="B491" s="24">
        <v>45582</v>
      </c>
      <c r="C491" s="24">
        <v>45582</v>
      </c>
      <c r="D491" s="25" t="s">
        <v>87</v>
      </c>
      <c r="E491" s="25" t="s">
        <v>128</v>
      </c>
      <c r="F491" s="25" t="s">
        <v>1251</v>
      </c>
      <c r="G491" s="79">
        <f t="shared" si="26"/>
        <v>45411</v>
      </c>
      <c r="H491" s="266">
        <v>6096518511</v>
      </c>
      <c r="J491" s="243" t="s">
        <v>1252</v>
      </c>
      <c r="K491" s="25" t="s">
        <v>297</v>
      </c>
      <c r="L491" s="25" t="s">
        <v>96</v>
      </c>
      <c r="M491" s="25" t="s">
        <v>608</v>
      </c>
      <c r="N491" s="25">
        <v>1</v>
      </c>
      <c r="O491" s="25">
        <v>270.31</v>
      </c>
      <c r="P491" s="106">
        <f t="shared" si="27"/>
        <v>270.31</v>
      </c>
      <c r="R491" s="24">
        <v>45595</v>
      </c>
      <c r="S491" s="26">
        <v>20245808</v>
      </c>
      <c r="T491" s="24">
        <v>45617</v>
      </c>
      <c r="U491" s="25">
        <v>1</v>
      </c>
      <c r="V491" s="25" t="s">
        <v>1298</v>
      </c>
      <c r="X491" s="25" t="s">
        <v>1299</v>
      </c>
    </row>
    <row r="492" spans="1:25" s="25" customFormat="1" x14ac:dyDescent="0.25">
      <c r="A492" s="23">
        <v>476</v>
      </c>
      <c r="B492" s="24">
        <v>45582</v>
      </c>
      <c r="C492" s="24">
        <v>45582</v>
      </c>
      <c r="D492" s="25" t="s">
        <v>87</v>
      </c>
      <c r="E492" s="25" t="s">
        <v>128</v>
      </c>
      <c r="F492" s="25" t="s">
        <v>1251</v>
      </c>
      <c r="G492" s="79">
        <f t="shared" si="26"/>
        <v>45411</v>
      </c>
      <c r="H492" s="266">
        <v>6096518511</v>
      </c>
      <c r="J492" s="243" t="s">
        <v>1252</v>
      </c>
      <c r="K492" s="25" t="s">
        <v>297</v>
      </c>
      <c r="L492" s="25" t="s">
        <v>96</v>
      </c>
      <c r="M492" s="25" t="s">
        <v>639</v>
      </c>
      <c r="N492" s="25">
        <v>1</v>
      </c>
      <c r="O492" s="25">
        <v>270.31</v>
      </c>
      <c r="P492" s="106">
        <f t="shared" si="27"/>
        <v>270.31</v>
      </c>
      <c r="R492" s="24">
        <v>45595</v>
      </c>
      <c r="S492" s="26">
        <v>20245808</v>
      </c>
      <c r="T492" s="24">
        <v>45617</v>
      </c>
      <c r="U492" s="25">
        <v>1</v>
      </c>
      <c r="V492" s="25" t="s">
        <v>1298</v>
      </c>
      <c r="X492" s="25" t="s">
        <v>1299</v>
      </c>
    </row>
    <row r="493" spans="1:25" s="25" customFormat="1" ht="14.45" customHeight="1" x14ac:dyDescent="0.25">
      <c r="A493" s="23">
        <v>477</v>
      </c>
      <c r="B493" s="24">
        <v>45583</v>
      </c>
      <c r="C493" s="24">
        <v>45588</v>
      </c>
      <c r="D493" s="25" t="s">
        <v>634</v>
      </c>
      <c r="E493" s="25" t="s">
        <v>635</v>
      </c>
      <c r="F493" s="25" t="s">
        <v>652</v>
      </c>
      <c r="G493" s="79" t="str">
        <f t="shared" si="26"/>
        <v>CANADA</v>
      </c>
      <c r="H493" s="14">
        <v>7043762800</v>
      </c>
      <c r="J493" s="19" t="s">
        <v>637</v>
      </c>
      <c r="K493" s="27" t="s">
        <v>653</v>
      </c>
      <c r="L493" s="25" t="s">
        <v>440</v>
      </c>
      <c r="M493" s="25" t="s">
        <v>639</v>
      </c>
      <c r="N493" s="25">
        <v>40</v>
      </c>
      <c r="O493" s="25">
        <v>174.06</v>
      </c>
      <c r="P493" s="106">
        <f t="shared" si="27"/>
        <v>6977.4</v>
      </c>
      <c r="Q493" s="25">
        <v>15</v>
      </c>
      <c r="R493" s="24">
        <v>45588</v>
      </c>
      <c r="S493" s="126" t="s">
        <v>1445</v>
      </c>
      <c r="T493" s="24">
        <v>45617</v>
      </c>
      <c r="U493" s="25">
        <v>40</v>
      </c>
      <c r="V493" s="25" t="s">
        <v>1034</v>
      </c>
      <c r="X493" s="25" t="s">
        <v>1061</v>
      </c>
    </row>
    <row r="494" spans="1:25" s="25" customFormat="1" ht="14.45" customHeight="1" x14ac:dyDescent="0.25">
      <c r="A494" s="23">
        <v>478</v>
      </c>
      <c r="B494" s="24">
        <v>45583</v>
      </c>
      <c r="C494" s="24">
        <v>45588</v>
      </c>
      <c r="D494" s="25" t="s">
        <v>634</v>
      </c>
      <c r="E494" s="25" t="s">
        <v>635</v>
      </c>
      <c r="F494" s="25" t="s">
        <v>652</v>
      </c>
      <c r="G494" s="79" t="str">
        <f t="shared" si="26"/>
        <v>CANADA</v>
      </c>
      <c r="H494" s="14">
        <v>7043762800</v>
      </c>
      <c r="J494" s="19" t="s">
        <v>637</v>
      </c>
      <c r="K494" s="27" t="s">
        <v>653</v>
      </c>
      <c r="L494" s="25" t="s">
        <v>440</v>
      </c>
      <c r="M494" s="25" t="s">
        <v>608</v>
      </c>
      <c r="N494" s="25">
        <v>10</v>
      </c>
      <c r="O494" s="25">
        <v>201.83</v>
      </c>
      <c r="P494" s="106">
        <f t="shared" si="27"/>
        <v>2043.3000000000002</v>
      </c>
      <c r="Q494" s="25">
        <v>25</v>
      </c>
      <c r="R494" s="24">
        <v>45588</v>
      </c>
      <c r="S494" s="126" t="s">
        <v>1445</v>
      </c>
      <c r="T494" s="24">
        <v>45617</v>
      </c>
      <c r="U494" s="25">
        <v>10</v>
      </c>
      <c r="V494" s="25" t="s">
        <v>1034</v>
      </c>
      <c r="X494" s="25" t="s">
        <v>1061</v>
      </c>
    </row>
    <row r="495" spans="1:25" s="25" customFormat="1" ht="14.45" customHeight="1" x14ac:dyDescent="0.25">
      <c r="A495" s="23">
        <v>479</v>
      </c>
      <c r="B495" s="24">
        <v>45583</v>
      </c>
      <c r="C495" s="24">
        <v>45588</v>
      </c>
      <c r="D495" s="25" t="s">
        <v>634</v>
      </c>
      <c r="E495" s="25" t="s">
        <v>635</v>
      </c>
      <c r="F495" s="25" t="s">
        <v>652</v>
      </c>
      <c r="G495" s="79" t="str">
        <f t="shared" si="26"/>
        <v>CANADA</v>
      </c>
      <c r="H495" s="14">
        <v>7043762800</v>
      </c>
      <c r="J495" s="19" t="s">
        <v>637</v>
      </c>
      <c r="K495" s="27" t="s">
        <v>653</v>
      </c>
      <c r="L495" s="25" t="s">
        <v>440</v>
      </c>
      <c r="M495" s="25" t="s">
        <v>610</v>
      </c>
      <c r="N495" s="25">
        <v>10</v>
      </c>
      <c r="O495" s="25">
        <v>201.83</v>
      </c>
      <c r="P495" s="106">
        <f t="shared" si="27"/>
        <v>2018.3000000000002</v>
      </c>
      <c r="R495" s="24">
        <v>45588</v>
      </c>
      <c r="S495" s="126" t="s">
        <v>1445</v>
      </c>
      <c r="T495" s="24">
        <v>45617</v>
      </c>
      <c r="U495" s="25">
        <v>10</v>
      </c>
      <c r="V495" s="25" t="s">
        <v>1034</v>
      </c>
      <c r="X495" s="25" t="s">
        <v>1061</v>
      </c>
    </row>
    <row r="496" spans="1:25" s="25" customFormat="1" ht="90" x14ac:dyDescent="0.25">
      <c r="A496" s="23">
        <v>480</v>
      </c>
      <c r="B496" s="24">
        <v>45583</v>
      </c>
      <c r="C496" s="24">
        <v>45588</v>
      </c>
      <c r="D496" s="25" t="s">
        <v>634</v>
      </c>
      <c r="E496" s="25" t="s">
        <v>635</v>
      </c>
      <c r="F496" s="25" t="s">
        <v>652</v>
      </c>
      <c r="G496" s="79" t="str">
        <f t="shared" si="26"/>
        <v>CANADA</v>
      </c>
      <c r="H496" s="14">
        <v>7043762800</v>
      </c>
      <c r="J496" s="19" t="s">
        <v>637</v>
      </c>
      <c r="K496" s="27" t="s">
        <v>653</v>
      </c>
      <c r="L496" s="25" t="s">
        <v>440</v>
      </c>
      <c r="M496" s="25" t="s">
        <v>1446</v>
      </c>
      <c r="N496" s="25">
        <v>5</v>
      </c>
      <c r="O496" s="25">
        <v>60.2</v>
      </c>
      <c r="P496" s="106">
        <f t="shared" si="27"/>
        <v>301</v>
      </c>
      <c r="R496" s="24">
        <v>45588</v>
      </c>
      <c r="S496" s="126" t="s">
        <v>1445</v>
      </c>
      <c r="T496" s="24">
        <v>45617</v>
      </c>
      <c r="U496" s="25">
        <v>5</v>
      </c>
      <c r="V496" s="25" t="s">
        <v>1034</v>
      </c>
      <c r="X496" s="25" t="s">
        <v>1061</v>
      </c>
    </row>
    <row r="497" spans="1:25" s="30" customFormat="1" x14ac:dyDescent="0.25">
      <c r="A497" s="28">
        <v>481</v>
      </c>
      <c r="B497" s="29">
        <v>45590</v>
      </c>
      <c r="C497" s="29">
        <v>45590</v>
      </c>
      <c r="D497" s="30" t="s">
        <v>1447</v>
      </c>
      <c r="E497" s="30" t="s">
        <v>251</v>
      </c>
      <c r="F497" s="30" t="s">
        <v>1448</v>
      </c>
      <c r="G497" s="80" t="s">
        <v>1449</v>
      </c>
      <c r="H497" s="15" t="s">
        <v>1450</v>
      </c>
      <c r="J497" s="21" t="s">
        <v>1451</v>
      </c>
      <c r="K497" s="30" t="s">
        <v>1452</v>
      </c>
      <c r="L497" s="30" t="s">
        <v>1449</v>
      </c>
      <c r="M497" s="30" t="s">
        <v>625</v>
      </c>
      <c r="N497" s="30">
        <v>2</v>
      </c>
      <c r="O497" s="30">
        <v>211.44</v>
      </c>
      <c r="P497" s="107">
        <f t="shared" si="27"/>
        <v>437.88</v>
      </c>
      <c r="Q497" s="30">
        <v>15</v>
      </c>
      <c r="R497" s="29"/>
      <c r="S497" s="31"/>
      <c r="T497" s="29"/>
      <c r="V497" s="30" t="s">
        <v>1041</v>
      </c>
      <c r="W497" s="30" t="s">
        <v>1164</v>
      </c>
      <c r="X497" s="30" t="s">
        <v>1453</v>
      </c>
    </row>
    <row r="498" spans="1:25" s="30" customFormat="1" ht="15" customHeight="1" x14ac:dyDescent="0.25">
      <c r="A498" s="28">
        <v>482</v>
      </c>
      <c r="B498" s="29">
        <v>45594</v>
      </c>
      <c r="C498" s="29">
        <v>45594</v>
      </c>
      <c r="D498" s="30" t="s">
        <v>508</v>
      </c>
      <c r="E498" s="30" t="s">
        <v>658</v>
      </c>
      <c r="F498" s="112" t="s">
        <v>659</v>
      </c>
      <c r="G498" s="82" t="s">
        <v>1454</v>
      </c>
      <c r="H498" s="15">
        <v>8458965973</v>
      </c>
      <c r="J498" s="35" t="s">
        <v>660</v>
      </c>
      <c r="M498" s="30" t="s">
        <v>934</v>
      </c>
      <c r="N498" s="116">
        <v>3</v>
      </c>
      <c r="O498" s="30">
        <v>143.57</v>
      </c>
      <c r="P498" s="107">
        <f t="shared" si="27"/>
        <v>430.71</v>
      </c>
      <c r="R498" s="29"/>
      <c r="S498" s="31"/>
      <c r="T498" s="29"/>
    </row>
    <row r="499" spans="1:25" s="30" customFormat="1" ht="15" customHeight="1" x14ac:dyDescent="0.25">
      <c r="A499" s="28">
        <v>483</v>
      </c>
      <c r="B499" s="29">
        <v>45594</v>
      </c>
      <c r="C499" s="29">
        <v>45594</v>
      </c>
      <c r="D499" s="30" t="s">
        <v>508</v>
      </c>
      <c r="E499" s="30" t="s">
        <v>658</v>
      </c>
      <c r="F499" s="112" t="s">
        <v>659</v>
      </c>
      <c r="G499" s="82" t="s">
        <v>1454</v>
      </c>
      <c r="H499" s="15">
        <v>8458965973</v>
      </c>
      <c r="J499" s="35" t="s">
        <v>660</v>
      </c>
      <c r="M499" s="30" t="s">
        <v>610</v>
      </c>
      <c r="N499" s="30">
        <v>3</v>
      </c>
      <c r="O499" s="30">
        <v>211.44</v>
      </c>
      <c r="P499" s="107">
        <f t="shared" si="27"/>
        <v>634.31999999999994</v>
      </c>
      <c r="R499" s="29"/>
      <c r="S499" s="31"/>
      <c r="T499" s="29"/>
      <c r="Y499" s="30" t="s">
        <v>1047</v>
      </c>
    </row>
    <row r="500" spans="1:25" s="30" customFormat="1" x14ac:dyDescent="0.25">
      <c r="A500" s="28">
        <v>484</v>
      </c>
      <c r="B500" s="29">
        <v>45594</v>
      </c>
      <c r="C500" s="29">
        <v>45594</v>
      </c>
      <c r="D500" s="30" t="s">
        <v>87</v>
      </c>
      <c r="E500" s="30" t="s">
        <v>128</v>
      </c>
      <c r="F500" s="30" t="s">
        <v>1251</v>
      </c>
      <c r="G500" s="80">
        <f t="shared" ref="G500:G604" si="30">_xlfn.IFNA(VLOOKUP(F500,TAX,2,FALSE), "NEED FORM")</f>
        <v>45411</v>
      </c>
      <c r="H500" s="264">
        <v>6096518511</v>
      </c>
      <c r="J500" s="134" t="s">
        <v>1252</v>
      </c>
      <c r="K500" s="30" t="s">
        <v>297</v>
      </c>
      <c r="L500" s="30" t="s">
        <v>96</v>
      </c>
      <c r="M500" s="30" t="s">
        <v>610</v>
      </c>
      <c r="N500" s="30">
        <v>8</v>
      </c>
      <c r="O500" s="30">
        <v>206.64</v>
      </c>
      <c r="P500" s="107">
        <f t="shared" si="27"/>
        <v>1653.12</v>
      </c>
      <c r="R500" s="29"/>
      <c r="S500" s="31"/>
      <c r="T500" s="29"/>
    </row>
    <row r="501" spans="1:25" s="30" customFormat="1" x14ac:dyDescent="0.25">
      <c r="A501" s="28">
        <v>485</v>
      </c>
      <c r="B501" s="29">
        <v>45594</v>
      </c>
      <c r="C501" s="29">
        <v>45594</v>
      </c>
      <c r="D501" s="30" t="s">
        <v>87</v>
      </c>
      <c r="E501" s="30" t="s">
        <v>128</v>
      </c>
      <c r="F501" s="30" t="s">
        <v>1251</v>
      </c>
      <c r="G501" s="80">
        <f t="shared" si="30"/>
        <v>45411</v>
      </c>
      <c r="H501" s="264">
        <v>6096518511</v>
      </c>
      <c r="J501" s="134" t="s">
        <v>1252</v>
      </c>
      <c r="K501" s="30" t="s">
        <v>297</v>
      </c>
      <c r="L501" s="30" t="s">
        <v>96</v>
      </c>
      <c r="M501" s="30" t="s">
        <v>611</v>
      </c>
      <c r="N501" s="30">
        <v>2</v>
      </c>
      <c r="O501" s="30">
        <v>211.44</v>
      </c>
      <c r="P501" s="107">
        <f t="shared" si="27"/>
        <v>422.88</v>
      </c>
      <c r="R501" s="29"/>
      <c r="S501" s="31"/>
      <c r="T501" s="29"/>
    </row>
    <row r="502" spans="1:25" s="30" customFormat="1" x14ac:dyDescent="0.25">
      <c r="A502" s="28">
        <v>486</v>
      </c>
      <c r="B502" s="29">
        <v>45594</v>
      </c>
      <c r="C502" s="29">
        <v>45594</v>
      </c>
      <c r="D502" s="30" t="s">
        <v>87</v>
      </c>
      <c r="E502" s="30" t="s">
        <v>128</v>
      </c>
      <c r="F502" s="30" t="s">
        <v>1251</v>
      </c>
      <c r="G502" s="80">
        <f t="shared" si="30"/>
        <v>45411</v>
      </c>
      <c r="H502" s="264">
        <v>6096518511</v>
      </c>
      <c r="J502" s="134" t="s">
        <v>1252</v>
      </c>
      <c r="K502" s="30" t="s">
        <v>297</v>
      </c>
      <c r="L502" s="30" t="s">
        <v>96</v>
      </c>
      <c r="M502" s="30" t="s">
        <v>723</v>
      </c>
      <c r="N502" s="30">
        <v>2</v>
      </c>
      <c r="O502" s="30">
        <v>211.44</v>
      </c>
      <c r="P502" s="107">
        <f t="shared" si="27"/>
        <v>422.88</v>
      </c>
      <c r="R502" s="29"/>
      <c r="S502" s="31"/>
      <c r="T502" s="29"/>
    </row>
    <row r="503" spans="1:25" s="30" customFormat="1" x14ac:dyDescent="0.25">
      <c r="A503" s="28">
        <v>487</v>
      </c>
      <c r="B503" s="29">
        <v>45594</v>
      </c>
      <c r="C503" s="29">
        <v>45594</v>
      </c>
      <c r="D503" s="30" t="s">
        <v>87</v>
      </c>
      <c r="E503" s="30" t="s">
        <v>128</v>
      </c>
      <c r="F503" s="30" t="s">
        <v>1251</v>
      </c>
      <c r="G503" s="80">
        <f t="shared" si="30"/>
        <v>45411</v>
      </c>
      <c r="H503" s="264">
        <v>6096518511</v>
      </c>
      <c r="J503" s="134" t="s">
        <v>1252</v>
      </c>
      <c r="K503" s="30" t="s">
        <v>297</v>
      </c>
      <c r="L503" s="30" t="s">
        <v>96</v>
      </c>
      <c r="M503" s="30" t="s">
        <v>608</v>
      </c>
      <c r="N503" s="30">
        <v>2</v>
      </c>
      <c r="O503" s="30">
        <v>211.44</v>
      </c>
      <c r="P503" s="107">
        <f t="shared" si="27"/>
        <v>422.88</v>
      </c>
      <c r="R503" s="29"/>
      <c r="S503" s="31"/>
      <c r="T503" s="29"/>
    </row>
    <row r="504" spans="1:25" s="30" customFormat="1" x14ac:dyDescent="0.25">
      <c r="A504" s="28">
        <v>488</v>
      </c>
      <c r="B504" s="29">
        <v>45594</v>
      </c>
      <c r="C504" s="29">
        <v>45594</v>
      </c>
      <c r="D504" s="30" t="s">
        <v>87</v>
      </c>
      <c r="E504" s="30" t="s">
        <v>128</v>
      </c>
      <c r="F504" s="30" t="s">
        <v>1251</v>
      </c>
      <c r="G504" s="80">
        <f t="shared" si="30"/>
        <v>45411</v>
      </c>
      <c r="H504" s="264">
        <v>6096518511</v>
      </c>
      <c r="J504" s="134" t="s">
        <v>1252</v>
      </c>
      <c r="K504" s="30" t="s">
        <v>297</v>
      </c>
      <c r="L504" s="30" t="s">
        <v>96</v>
      </c>
      <c r="M504" s="30" t="s">
        <v>639</v>
      </c>
      <c r="N504" s="30">
        <v>2</v>
      </c>
      <c r="O504" s="30">
        <v>211.44</v>
      </c>
      <c r="P504" s="107">
        <f t="shared" si="27"/>
        <v>422.88</v>
      </c>
      <c r="R504" s="29"/>
      <c r="S504" s="31"/>
      <c r="T504" s="29"/>
    </row>
    <row r="505" spans="1:25" s="25" customFormat="1" x14ac:dyDescent="0.25">
      <c r="A505" s="23">
        <v>489</v>
      </c>
      <c r="B505" s="24">
        <v>45600</v>
      </c>
      <c r="C505" s="24">
        <v>45621</v>
      </c>
      <c r="D505" s="25" t="s">
        <v>1455</v>
      </c>
      <c r="E505" s="25" t="s">
        <v>520</v>
      </c>
      <c r="F505" s="25" t="s">
        <v>1456</v>
      </c>
      <c r="G505" s="79">
        <f t="shared" si="30"/>
        <v>45623</v>
      </c>
      <c r="H505" s="266"/>
      <c r="J505" s="25" t="s">
        <v>1457</v>
      </c>
      <c r="M505" s="25" t="s">
        <v>610</v>
      </c>
      <c r="N505" s="25">
        <v>18</v>
      </c>
      <c r="O505" s="25">
        <v>201.83</v>
      </c>
      <c r="P505" s="106">
        <f t="shared" si="27"/>
        <v>3632.94</v>
      </c>
      <c r="R505" s="24">
        <v>45630</v>
      </c>
      <c r="S505" s="26" t="s">
        <v>1458</v>
      </c>
      <c r="T505" s="24">
        <v>45650</v>
      </c>
      <c r="U505" s="25">
        <v>18</v>
      </c>
      <c r="V505" s="25" t="s">
        <v>1459</v>
      </c>
      <c r="W505" s="25" t="s">
        <v>1164</v>
      </c>
    </row>
    <row r="506" spans="1:25" s="25" customFormat="1" x14ac:dyDescent="0.25">
      <c r="A506" s="23">
        <v>490</v>
      </c>
      <c r="B506" s="24">
        <v>45600</v>
      </c>
      <c r="C506" s="24">
        <v>45601</v>
      </c>
      <c r="D506" s="25" t="s">
        <v>695</v>
      </c>
      <c r="E506" s="25" t="s">
        <v>696</v>
      </c>
      <c r="F506" s="25" t="s">
        <v>697</v>
      </c>
      <c r="G506" s="79" t="str">
        <f t="shared" si="30"/>
        <v>NEED FORM</v>
      </c>
      <c r="H506" s="14">
        <v>6503456800</v>
      </c>
      <c r="J506" s="19" t="s">
        <v>698</v>
      </c>
      <c r="K506" s="25" t="s">
        <v>366</v>
      </c>
      <c r="L506" s="25" t="s">
        <v>699</v>
      </c>
      <c r="M506" s="25" t="s">
        <v>610</v>
      </c>
      <c r="N506" s="25">
        <v>2</v>
      </c>
      <c r="O506" s="25">
        <v>211.44</v>
      </c>
      <c r="P506" s="106">
        <f t="shared" si="27"/>
        <v>422.88</v>
      </c>
      <c r="R506" s="24">
        <v>45609</v>
      </c>
      <c r="S506" s="26">
        <v>109</v>
      </c>
      <c r="T506" s="24">
        <v>45635</v>
      </c>
      <c r="U506" s="25">
        <v>2</v>
      </c>
      <c r="V506" s="25" t="s">
        <v>1460</v>
      </c>
      <c r="X506" s="25" t="s">
        <v>1461</v>
      </c>
    </row>
    <row r="507" spans="1:25" s="25" customFormat="1" x14ac:dyDescent="0.25">
      <c r="A507" s="23">
        <v>491</v>
      </c>
      <c r="B507" s="24">
        <v>45602</v>
      </c>
      <c r="C507" s="24">
        <v>45603</v>
      </c>
      <c r="D507" s="25" t="s">
        <v>1145</v>
      </c>
      <c r="E507" s="25" t="s">
        <v>1146</v>
      </c>
      <c r="F507" s="25" t="s">
        <v>1147</v>
      </c>
      <c r="G507" s="79">
        <f t="shared" si="30"/>
        <v>45278</v>
      </c>
      <c r="H507" s="266">
        <v>3252199145</v>
      </c>
      <c r="J507" s="25" t="s">
        <v>1148</v>
      </c>
      <c r="K507" s="25" t="s">
        <v>505</v>
      </c>
      <c r="L507" s="25" t="s">
        <v>144</v>
      </c>
      <c r="M507" s="25" t="s">
        <v>610</v>
      </c>
      <c r="N507" s="25">
        <v>2</v>
      </c>
      <c r="O507" s="25">
        <v>211.44</v>
      </c>
      <c r="P507" s="106">
        <f t="shared" si="27"/>
        <v>437.88</v>
      </c>
      <c r="Q507" s="25">
        <v>15</v>
      </c>
      <c r="R507" s="24">
        <v>45609</v>
      </c>
      <c r="S507" s="26" t="s">
        <v>1462</v>
      </c>
      <c r="T507" s="24">
        <v>45637</v>
      </c>
      <c r="V507" s="25" t="s">
        <v>1034</v>
      </c>
      <c r="X507" s="25" t="s">
        <v>1463</v>
      </c>
    </row>
    <row r="508" spans="1:25" s="30" customFormat="1" x14ac:dyDescent="0.25">
      <c r="A508" s="28">
        <v>492</v>
      </c>
      <c r="B508" s="29">
        <v>45603</v>
      </c>
      <c r="C508" s="29">
        <v>45603</v>
      </c>
      <c r="D508" s="30" t="s">
        <v>369</v>
      </c>
      <c r="E508" s="30" t="s">
        <v>1464</v>
      </c>
      <c r="F508" s="30" t="s">
        <v>1465</v>
      </c>
      <c r="G508" s="80" t="str">
        <f t="shared" si="30"/>
        <v>NEED FORM</v>
      </c>
      <c r="H508" s="15"/>
      <c r="J508" s="30" t="s">
        <v>1466</v>
      </c>
      <c r="L508" s="30" t="s">
        <v>1467</v>
      </c>
      <c r="M508" s="30" t="s">
        <v>610</v>
      </c>
      <c r="N508" s="30">
        <v>2</v>
      </c>
      <c r="O508" s="30">
        <v>211.44</v>
      </c>
      <c r="P508" s="107">
        <f t="shared" si="27"/>
        <v>422.88</v>
      </c>
      <c r="R508" s="29"/>
      <c r="S508" s="31"/>
      <c r="T508" s="29"/>
      <c r="V508" s="30" t="s">
        <v>412</v>
      </c>
      <c r="W508" s="30" t="s">
        <v>1164</v>
      </c>
    </row>
    <row r="509" spans="1:25" s="25" customFormat="1" x14ac:dyDescent="0.25">
      <c r="A509" s="23">
        <v>493</v>
      </c>
      <c r="B509" s="24">
        <v>45602</v>
      </c>
      <c r="C509" s="24">
        <v>45603</v>
      </c>
      <c r="D509" s="25" t="s">
        <v>1145</v>
      </c>
      <c r="E509" s="25" t="s">
        <v>1146</v>
      </c>
      <c r="F509" s="25" t="s">
        <v>1147</v>
      </c>
      <c r="G509" s="79">
        <f t="shared" si="30"/>
        <v>45278</v>
      </c>
      <c r="H509" s="266">
        <v>3252199145</v>
      </c>
      <c r="J509" s="25" t="s">
        <v>1148</v>
      </c>
      <c r="K509" s="25" t="s">
        <v>505</v>
      </c>
      <c r="L509" s="25" t="s">
        <v>144</v>
      </c>
      <c r="M509" s="25" t="s">
        <v>611</v>
      </c>
      <c r="N509" s="25">
        <v>2</v>
      </c>
      <c r="O509" s="25">
        <v>211.44</v>
      </c>
      <c r="P509" s="106">
        <f t="shared" si="27"/>
        <v>422.88</v>
      </c>
      <c r="R509" s="24">
        <v>45609</v>
      </c>
      <c r="S509" s="26" t="s">
        <v>1462</v>
      </c>
      <c r="T509" s="24">
        <v>45637</v>
      </c>
      <c r="V509" s="25" t="s">
        <v>1034</v>
      </c>
      <c r="X509" s="25" t="s">
        <v>1463</v>
      </c>
    </row>
    <row r="510" spans="1:25" s="25" customFormat="1" x14ac:dyDescent="0.25">
      <c r="A510" s="23">
        <v>494</v>
      </c>
      <c r="B510" s="24">
        <v>45604</v>
      </c>
      <c r="C510" s="24">
        <v>45617</v>
      </c>
      <c r="D510" s="25" t="s">
        <v>127</v>
      </c>
      <c r="E510" s="25" t="s">
        <v>1468</v>
      </c>
      <c r="F510" s="25" t="s">
        <v>965</v>
      </c>
      <c r="G510" s="79" t="str">
        <f t="shared" si="30"/>
        <v>NEED FORM</v>
      </c>
      <c r="H510" s="14">
        <v>6038340340</v>
      </c>
      <c r="J510" s="25" t="s">
        <v>1469</v>
      </c>
      <c r="K510" s="25" t="s">
        <v>967</v>
      </c>
      <c r="L510" s="25" t="s">
        <v>440</v>
      </c>
      <c r="M510" s="25" t="s">
        <v>610</v>
      </c>
      <c r="N510" s="25">
        <v>5</v>
      </c>
      <c r="O510" s="25">
        <v>211.44</v>
      </c>
      <c r="P510" s="106">
        <f t="shared" si="27"/>
        <v>1072.2</v>
      </c>
      <c r="Q510" s="25">
        <v>15</v>
      </c>
      <c r="R510" s="24">
        <v>45617</v>
      </c>
      <c r="S510" s="26" t="s">
        <v>1470</v>
      </c>
      <c r="T510" s="24">
        <v>45644</v>
      </c>
      <c r="U510" s="25">
        <v>5</v>
      </c>
      <c r="V510" s="25" t="s">
        <v>1041</v>
      </c>
    </row>
    <row r="511" spans="1:25" s="30" customFormat="1" x14ac:dyDescent="0.25">
      <c r="A511" s="28">
        <v>495</v>
      </c>
      <c r="B511" s="29">
        <v>45615</v>
      </c>
      <c r="C511" s="29">
        <v>45615</v>
      </c>
      <c r="D511" s="30" t="s">
        <v>137</v>
      </c>
      <c r="E511" s="30" t="s">
        <v>605</v>
      </c>
      <c r="F511" s="30" t="s">
        <v>606</v>
      </c>
      <c r="G511" s="80" t="str">
        <f t="shared" ref="G511:G520" si="31">_xlfn.IFNA(VLOOKUP(F511,TAX,2,FALSE), "NEED FORM")</f>
        <v>NEED FORM</v>
      </c>
      <c r="H511" s="15">
        <v>8613301795420</v>
      </c>
      <c r="J511" s="35" t="s">
        <v>607</v>
      </c>
      <c r="L511" s="30" t="s">
        <v>1471</v>
      </c>
      <c r="M511" s="30" t="s">
        <v>639</v>
      </c>
      <c r="N511" s="30">
        <v>1</v>
      </c>
      <c r="O511" s="30">
        <v>270.31</v>
      </c>
      <c r="P511" s="108">
        <f>N511*O511+Q511</f>
        <v>310.31</v>
      </c>
      <c r="Q511" s="30">
        <v>40</v>
      </c>
      <c r="R511" s="29"/>
      <c r="S511" s="31"/>
      <c r="T511" s="29"/>
    </row>
    <row r="512" spans="1:25" s="30" customFormat="1" x14ac:dyDescent="0.25">
      <c r="A512" s="28">
        <v>496</v>
      </c>
      <c r="B512" s="29">
        <v>45615</v>
      </c>
      <c r="C512" s="29">
        <v>45615</v>
      </c>
      <c r="D512" s="30" t="s">
        <v>137</v>
      </c>
      <c r="E512" s="30" t="s">
        <v>605</v>
      </c>
      <c r="F512" s="30" t="s">
        <v>606</v>
      </c>
      <c r="G512" s="80" t="str">
        <f t="shared" si="31"/>
        <v>NEED FORM</v>
      </c>
      <c r="H512" s="15">
        <v>8613301795420</v>
      </c>
      <c r="J512" s="21" t="s">
        <v>607</v>
      </c>
      <c r="L512" s="30" t="s">
        <v>1471</v>
      </c>
      <c r="M512" s="30" t="s">
        <v>639</v>
      </c>
      <c r="N512" s="30">
        <v>1</v>
      </c>
      <c r="O512" s="30">
        <v>270.31</v>
      </c>
      <c r="P512" s="295">
        <f>N512*O512+Q512</f>
        <v>310.31</v>
      </c>
      <c r="Q512" s="30">
        <v>40</v>
      </c>
      <c r="R512" s="29"/>
      <c r="S512" s="31"/>
      <c r="T512" s="29"/>
    </row>
    <row r="513" spans="1:25" s="30" customFormat="1" x14ac:dyDescent="0.25">
      <c r="A513" s="28">
        <v>497</v>
      </c>
      <c r="B513" s="29">
        <v>45615</v>
      </c>
      <c r="C513" s="29">
        <v>45615</v>
      </c>
      <c r="D513" s="30" t="s">
        <v>137</v>
      </c>
      <c r="E513" s="30" t="s">
        <v>605</v>
      </c>
      <c r="F513" s="30" t="s">
        <v>606</v>
      </c>
      <c r="G513" s="80" t="str">
        <f t="shared" si="31"/>
        <v>NEED FORM</v>
      </c>
      <c r="H513" s="15">
        <v>8613301795420</v>
      </c>
      <c r="J513" s="21" t="s">
        <v>607</v>
      </c>
      <c r="L513" s="30" t="s">
        <v>1471</v>
      </c>
      <c r="M513" s="30" t="s">
        <v>639</v>
      </c>
      <c r="N513" s="30">
        <v>8</v>
      </c>
      <c r="O513" s="30">
        <v>206.64</v>
      </c>
      <c r="P513" s="295">
        <f>N513*O513+Q513</f>
        <v>1693.12</v>
      </c>
      <c r="Q513" s="30">
        <v>40</v>
      </c>
      <c r="R513" s="29"/>
      <c r="S513" s="31"/>
      <c r="T513" s="29"/>
    </row>
    <row r="514" spans="1:25" s="30" customFormat="1" x14ac:dyDescent="0.25">
      <c r="A514" s="28">
        <v>498</v>
      </c>
      <c r="B514" s="29">
        <v>45615</v>
      </c>
      <c r="C514" s="29">
        <v>45615</v>
      </c>
      <c r="D514" s="30" t="s">
        <v>137</v>
      </c>
      <c r="E514" s="30" t="s">
        <v>605</v>
      </c>
      <c r="F514" s="30" t="s">
        <v>606</v>
      </c>
      <c r="G514" s="80" t="str">
        <f t="shared" si="31"/>
        <v>NEED FORM</v>
      </c>
      <c r="H514" s="15">
        <v>8613301795420</v>
      </c>
      <c r="J514" s="21" t="s">
        <v>607</v>
      </c>
      <c r="L514" s="30" t="s">
        <v>1471</v>
      </c>
      <c r="M514" s="30" t="s">
        <v>639</v>
      </c>
      <c r="N514" s="30">
        <v>1</v>
      </c>
      <c r="O514" s="30">
        <v>270.31</v>
      </c>
      <c r="P514" s="295">
        <f>N514*O514+Q514</f>
        <v>310.31</v>
      </c>
      <c r="Q514" s="30">
        <v>40</v>
      </c>
      <c r="R514" s="29"/>
      <c r="S514" s="31"/>
      <c r="T514" s="29"/>
    </row>
    <row r="515" spans="1:25" s="30" customFormat="1" x14ac:dyDescent="0.25">
      <c r="A515" s="28">
        <v>499</v>
      </c>
      <c r="B515" s="29">
        <v>45615</v>
      </c>
      <c r="C515" s="29">
        <v>45615</v>
      </c>
      <c r="D515" s="30" t="s">
        <v>87</v>
      </c>
      <c r="E515" s="30" t="s">
        <v>128</v>
      </c>
      <c r="F515" s="30" t="s">
        <v>1251</v>
      </c>
      <c r="G515" s="80">
        <f t="shared" si="31"/>
        <v>45411</v>
      </c>
      <c r="H515" s="264">
        <v>6096518511</v>
      </c>
      <c r="J515" s="134" t="s">
        <v>1252</v>
      </c>
      <c r="K515" s="30" t="s">
        <v>297</v>
      </c>
      <c r="L515" s="30" t="s">
        <v>96</v>
      </c>
      <c r="M515" s="30" t="s">
        <v>610</v>
      </c>
      <c r="N515" s="30">
        <v>1</v>
      </c>
      <c r="O515" s="30">
        <v>270.31</v>
      </c>
      <c r="P515" s="295">
        <f>N515*O515+Q515</f>
        <v>310.31</v>
      </c>
      <c r="Q515" s="30">
        <v>40</v>
      </c>
      <c r="R515" s="29"/>
      <c r="S515" s="31"/>
      <c r="T515" s="29"/>
    </row>
    <row r="516" spans="1:25" s="30" customFormat="1" x14ac:dyDescent="0.25">
      <c r="A516" s="28">
        <v>500</v>
      </c>
      <c r="B516" s="29">
        <v>45615</v>
      </c>
      <c r="C516" s="29">
        <v>45615</v>
      </c>
      <c r="D516" s="30" t="s">
        <v>87</v>
      </c>
      <c r="E516" s="30" t="s">
        <v>128</v>
      </c>
      <c r="F516" s="30" t="s">
        <v>1251</v>
      </c>
      <c r="G516" s="80">
        <f t="shared" si="31"/>
        <v>45411</v>
      </c>
      <c r="H516" s="264">
        <v>6096518511</v>
      </c>
      <c r="J516" s="134" t="s">
        <v>1252</v>
      </c>
      <c r="K516" s="30" t="s">
        <v>297</v>
      </c>
      <c r="L516" s="30" t="s">
        <v>96</v>
      </c>
      <c r="M516" s="30" t="s">
        <v>611</v>
      </c>
      <c r="N516" s="30">
        <v>1</v>
      </c>
      <c r="O516" s="30">
        <v>270.31</v>
      </c>
      <c r="P516" s="107">
        <f t="shared" ref="P516:P619" si="32">N516*O516+Q516</f>
        <v>270.31</v>
      </c>
      <c r="R516" s="29"/>
      <c r="S516" s="31"/>
      <c r="T516" s="29"/>
    </row>
    <row r="517" spans="1:25" s="25" customFormat="1" x14ac:dyDescent="0.25">
      <c r="A517" s="23">
        <v>501</v>
      </c>
      <c r="B517" s="24">
        <v>45615</v>
      </c>
      <c r="C517" s="24">
        <v>45615</v>
      </c>
      <c r="D517" s="25" t="s">
        <v>87</v>
      </c>
      <c r="E517" s="25" t="s">
        <v>128</v>
      </c>
      <c r="F517" s="25" t="s">
        <v>1251</v>
      </c>
      <c r="G517" s="79">
        <f t="shared" si="31"/>
        <v>45411</v>
      </c>
      <c r="H517" s="266">
        <v>6096518511</v>
      </c>
      <c r="J517" s="243" t="s">
        <v>1252</v>
      </c>
      <c r="K517" s="25" t="s">
        <v>297</v>
      </c>
      <c r="L517" s="25" t="s">
        <v>96</v>
      </c>
      <c r="M517" s="25" t="s">
        <v>639</v>
      </c>
      <c r="N517" s="25">
        <v>1</v>
      </c>
      <c r="O517" s="25">
        <v>270.31</v>
      </c>
      <c r="P517" s="106">
        <f t="shared" si="32"/>
        <v>270.31</v>
      </c>
      <c r="R517" s="24">
        <v>45646</v>
      </c>
      <c r="S517" s="26">
        <v>20246861</v>
      </c>
      <c r="T517" s="24">
        <v>45667</v>
      </c>
      <c r="U517" s="25">
        <v>1</v>
      </c>
      <c r="V517" s="25" t="s">
        <v>1298</v>
      </c>
    </row>
    <row r="518" spans="1:25" s="25" customFormat="1" x14ac:dyDescent="0.25">
      <c r="A518" s="23">
        <v>502</v>
      </c>
      <c r="B518" s="24">
        <v>45615</v>
      </c>
      <c r="C518" s="24">
        <v>45615</v>
      </c>
      <c r="D518" s="25" t="s">
        <v>87</v>
      </c>
      <c r="E518" s="25" t="s">
        <v>128</v>
      </c>
      <c r="F518" s="25" t="s">
        <v>1251</v>
      </c>
      <c r="G518" s="79">
        <f t="shared" si="31"/>
        <v>45411</v>
      </c>
      <c r="H518" s="266">
        <v>6096518511</v>
      </c>
      <c r="J518" s="243" t="s">
        <v>1252</v>
      </c>
      <c r="K518" s="25" t="s">
        <v>297</v>
      </c>
      <c r="L518" s="25" t="s">
        <v>96</v>
      </c>
      <c r="M518" s="25" t="s">
        <v>608</v>
      </c>
      <c r="N518" s="25">
        <v>1</v>
      </c>
      <c r="O518" s="25">
        <v>270.31</v>
      </c>
      <c r="P518" s="106">
        <f t="shared" si="32"/>
        <v>270.31</v>
      </c>
      <c r="R518" s="24">
        <v>45646</v>
      </c>
      <c r="S518" s="26">
        <v>20246861</v>
      </c>
      <c r="T518" s="24">
        <v>45667</v>
      </c>
      <c r="U518" s="25">
        <v>1</v>
      </c>
      <c r="V518" s="25" t="s">
        <v>1298</v>
      </c>
    </row>
    <row r="519" spans="1:25" s="25" customFormat="1" x14ac:dyDescent="0.25">
      <c r="A519" s="23">
        <v>503</v>
      </c>
      <c r="B519" s="24">
        <v>45615</v>
      </c>
      <c r="C519" s="24">
        <v>45615</v>
      </c>
      <c r="D519" s="25" t="s">
        <v>87</v>
      </c>
      <c r="E519" s="25" t="s">
        <v>128</v>
      </c>
      <c r="F519" s="25" t="s">
        <v>1251</v>
      </c>
      <c r="G519" s="79">
        <f t="shared" si="31"/>
        <v>45411</v>
      </c>
      <c r="H519" s="266">
        <v>6096518511</v>
      </c>
      <c r="J519" s="243" t="s">
        <v>1252</v>
      </c>
      <c r="K519" s="25" t="s">
        <v>297</v>
      </c>
      <c r="L519" s="25" t="s">
        <v>96</v>
      </c>
      <c r="M519" s="25" t="s">
        <v>625</v>
      </c>
      <c r="N519" s="25">
        <v>8</v>
      </c>
      <c r="O519" s="25">
        <v>206.64</v>
      </c>
      <c r="P519" s="106">
        <f t="shared" si="32"/>
        <v>1653.12</v>
      </c>
      <c r="R519" s="24">
        <v>45646</v>
      </c>
      <c r="S519" s="26">
        <v>20246861</v>
      </c>
      <c r="T519" s="24">
        <v>45667</v>
      </c>
      <c r="U519" s="25">
        <v>8</v>
      </c>
      <c r="V519" s="25" t="s">
        <v>1298</v>
      </c>
    </row>
    <row r="520" spans="1:25" s="25" customFormat="1" x14ac:dyDescent="0.25">
      <c r="A520" s="23">
        <v>504</v>
      </c>
      <c r="B520" s="24">
        <v>45615</v>
      </c>
      <c r="C520" s="24">
        <v>45615</v>
      </c>
      <c r="D520" s="25" t="s">
        <v>87</v>
      </c>
      <c r="E520" s="25" t="s">
        <v>128</v>
      </c>
      <c r="F520" s="25" t="s">
        <v>1251</v>
      </c>
      <c r="G520" s="79">
        <f t="shared" si="31"/>
        <v>45411</v>
      </c>
      <c r="H520" s="266">
        <v>6096518511</v>
      </c>
      <c r="J520" s="243" t="s">
        <v>1252</v>
      </c>
      <c r="K520" s="25" t="s">
        <v>297</v>
      </c>
      <c r="L520" s="25" t="s">
        <v>96</v>
      </c>
      <c r="M520" s="25" t="s">
        <v>611</v>
      </c>
      <c r="N520" s="25">
        <v>1</v>
      </c>
      <c r="O520" s="25">
        <v>270.31</v>
      </c>
      <c r="P520" s="106">
        <f t="shared" si="32"/>
        <v>270.31</v>
      </c>
      <c r="R520" s="24">
        <v>45646</v>
      </c>
      <c r="S520" s="26">
        <v>20246861</v>
      </c>
      <c r="T520" s="24">
        <v>45667</v>
      </c>
      <c r="U520" s="25">
        <v>1</v>
      </c>
      <c r="V520" s="25" t="s">
        <v>1298</v>
      </c>
    </row>
    <row r="521" spans="1:25" s="30" customFormat="1" x14ac:dyDescent="0.25">
      <c r="A521" s="28">
        <v>505</v>
      </c>
      <c r="B521" s="29">
        <v>45629</v>
      </c>
      <c r="C521" s="29">
        <v>45629</v>
      </c>
      <c r="D521" s="30" t="s">
        <v>155</v>
      </c>
      <c r="E521" s="30" t="s">
        <v>1472</v>
      </c>
      <c r="F521" s="30" t="s">
        <v>1473</v>
      </c>
      <c r="G521" s="80" t="str">
        <f t="shared" si="30"/>
        <v>NEED FORM</v>
      </c>
      <c r="H521" s="264">
        <v>7324292917</v>
      </c>
      <c r="J521" s="30" t="s">
        <v>1474</v>
      </c>
      <c r="K521" s="30" t="s">
        <v>1475</v>
      </c>
      <c r="L521" s="30" t="s">
        <v>96</v>
      </c>
      <c r="M521" s="30" t="s">
        <v>639</v>
      </c>
      <c r="N521" s="30">
        <v>3</v>
      </c>
      <c r="O521" s="30">
        <v>211.44</v>
      </c>
      <c r="P521" s="107">
        <f t="shared" si="32"/>
        <v>634.31999999999994</v>
      </c>
      <c r="R521" s="29"/>
      <c r="S521" s="31"/>
      <c r="T521" s="29"/>
      <c r="V521" s="30" t="s">
        <v>1041</v>
      </c>
      <c r="X521" s="30" t="s">
        <v>412</v>
      </c>
    </row>
    <row r="522" spans="1:25" s="30" customFormat="1" x14ac:dyDescent="0.25">
      <c r="A522" s="28">
        <v>506</v>
      </c>
      <c r="B522" s="29">
        <v>45629</v>
      </c>
      <c r="C522" s="29">
        <v>45629</v>
      </c>
      <c r="D522" s="30" t="s">
        <v>155</v>
      </c>
      <c r="E522" s="30" t="s">
        <v>1472</v>
      </c>
      <c r="F522" s="30" t="s">
        <v>1473</v>
      </c>
      <c r="G522" s="80" t="str">
        <f>_xlfn.IFNA(VLOOKUP(F522,TAX,2,FALSE), "NEED FORM")</f>
        <v>NEED FORM</v>
      </c>
      <c r="H522" s="264">
        <v>7324292917</v>
      </c>
      <c r="J522" s="30" t="s">
        <v>1474</v>
      </c>
      <c r="K522" s="30" t="s">
        <v>1475</v>
      </c>
      <c r="L522" s="30" t="s">
        <v>96</v>
      </c>
      <c r="M522" s="30" t="s">
        <v>610</v>
      </c>
      <c r="N522" s="30">
        <v>3</v>
      </c>
      <c r="O522" s="30">
        <v>211.44</v>
      </c>
      <c r="P522" s="107">
        <f>N522*O522+Q522</f>
        <v>634.31999999999994</v>
      </c>
      <c r="R522" s="29"/>
      <c r="S522" s="31"/>
      <c r="T522" s="29"/>
    </row>
    <row r="523" spans="1:25" s="30" customFormat="1" x14ac:dyDescent="0.25">
      <c r="A523" s="28">
        <v>507</v>
      </c>
      <c r="B523" s="29">
        <v>45629</v>
      </c>
      <c r="C523" s="29">
        <v>45629</v>
      </c>
      <c r="D523" s="30" t="s">
        <v>155</v>
      </c>
      <c r="E523" s="30" t="s">
        <v>1472</v>
      </c>
      <c r="F523" s="30" t="s">
        <v>1473</v>
      </c>
      <c r="G523" s="80" t="str">
        <f>_xlfn.IFNA(VLOOKUP(F523,TAX,2,FALSE), "NEED FORM")</f>
        <v>NEED FORM</v>
      </c>
      <c r="H523" s="264">
        <v>7324292917</v>
      </c>
      <c r="J523" s="30" t="s">
        <v>1474</v>
      </c>
      <c r="K523" s="30" t="s">
        <v>1475</v>
      </c>
      <c r="L523" s="30" t="s">
        <v>96</v>
      </c>
      <c r="M523" s="30" t="s">
        <v>611</v>
      </c>
      <c r="N523" s="30">
        <v>3</v>
      </c>
      <c r="O523" s="30">
        <v>211.44</v>
      </c>
      <c r="P523" s="107">
        <f>N523*O523+Q523</f>
        <v>634.31999999999994</v>
      </c>
      <c r="R523" s="29"/>
      <c r="S523" s="31"/>
      <c r="T523" s="29"/>
    </row>
    <row r="524" spans="1:25" s="25" customFormat="1" ht="30" x14ac:dyDescent="0.25">
      <c r="A524" s="23">
        <v>508</v>
      </c>
      <c r="B524" s="24">
        <v>45637</v>
      </c>
      <c r="C524" s="24">
        <v>45637</v>
      </c>
      <c r="D524" s="25" t="s">
        <v>508</v>
      </c>
      <c r="E524" s="25" t="s">
        <v>658</v>
      </c>
      <c r="F524" s="27" t="s">
        <v>659</v>
      </c>
      <c r="G524" s="79">
        <f>_xlfn.IFNA(VLOOKUP(F524,TAX,2,FALSE), "NEED FORM")</f>
        <v>45637</v>
      </c>
      <c r="H524" s="14">
        <v>8458965973</v>
      </c>
      <c r="J524" s="19" t="s">
        <v>660</v>
      </c>
      <c r="M524" s="25" t="s">
        <v>934</v>
      </c>
      <c r="N524" s="38">
        <v>5</v>
      </c>
      <c r="O524" s="25">
        <v>143.57</v>
      </c>
      <c r="P524" s="106">
        <f>N524*O524+Q524</f>
        <v>717.84999999999991</v>
      </c>
      <c r="R524" s="24">
        <v>45637</v>
      </c>
      <c r="S524" s="26">
        <v>1275</v>
      </c>
      <c r="T524" s="24">
        <v>45666</v>
      </c>
      <c r="U524" s="25">
        <v>5</v>
      </c>
    </row>
    <row r="525" spans="1:25" s="25" customFormat="1" ht="30" x14ac:dyDescent="0.25">
      <c r="A525" s="23">
        <v>509</v>
      </c>
      <c r="B525" s="24">
        <v>45637</v>
      </c>
      <c r="C525" s="24">
        <v>45637</v>
      </c>
      <c r="D525" s="25" t="s">
        <v>508</v>
      </c>
      <c r="E525" s="25" t="s">
        <v>658</v>
      </c>
      <c r="F525" s="27" t="s">
        <v>659</v>
      </c>
      <c r="G525" s="79">
        <f>_xlfn.IFNA(VLOOKUP(F525,TAX,2,FALSE), "NEED FORM")</f>
        <v>45637</v>
      </c>
      <c r="H525" s="14">
        <v>8458965973</v>
      </c>
      <c r="J525" s="19" t="s">
        <v>660</v>
      </c>
      <c r="M525" s="25" t="s">
        <v>610</v>
      </c>
      <c r="N525" s="38">
        <v>5</v>
      </c>
      <c r="O525" s="25">
        <v>211.44</v>
      </c>
      <c r="P525" s="106">
        <f>N525*O525+Q525</f>
        <v>1057.2</v>
      </c>
      <c r="R525" s="24">
        <v>45637</v>
      </c>
      <c r="S525" s="26">
        <v>1275</v>
      </c>
      <c r="T525" s="24">
        <v>45666</v>
      </c>
      <c r="U525" s="25">
        <v>5</v>
      </c>
      <c r="Y525" s="25" t="s">
        <v>1047</v>
      </c>
    </row>
    <row r="526" spans="1:25" s="30" customFormat="1" x14ac:dyDescent="0.25">
      <c r="A526" s="28">
        <v>510</v>
      </c>
      <c r="B526" s="29">
        <v>45638</v>
      </c>
      <c r="C526" s="29">
        <v>45638</v>
      </c>
      <c r="D526" s="30" t="s">
        <v>263</v>
      </c>
      <c r="E526" s="30" t="s">
        <v>1372</v>
      </c>
      <c r="F526" s="30" t="s">
        <v>1373</v>
      </c>
      <c r="G526" s="80">
        <f t="shared" ref="G526:G528" si="33">_xlfn.IFNA(VLOOKUP(F526,TAX,2,FALSE), "NEED FORM")</f>
        <v>45470</v>
      </c>
      <c r="H526" s="264">
        <v>7703122298</v>
      </c>
      <c r="J526" s="30" t="s">
        <v>1374</v>
      </c>
      <c r="M526" s="30" t="s">
        <v>610</v>
      </c>
      <c r="N526" s="30">
        <v>2</v>
      </c>
      <c r="O526" s="30">
        <v>211.44</v>
      </c>
      <c r="P526" s="108">
        <f t="shared" si="32"/>
        <v>422.88</v>
      </c>
      <c r="R526" s="29"/>
      <c r="S526" s="31"/>
      <c r="T526" s="29"/>
    </row>
    <row r="527" spans="1:25" s="25" customFormat="1" x14ac:dyDescent="0.25">
      <c r="A527" s="23">
        <v>511</v>
      </c>
      <c r="B527" s="24">
        <v>45639</v>
      </c>
      <c r="C527" s="24">
        <v>45639</v>
      </c>
      <c r="D527" s="25" t="s">
        <v>1180</v>
      </c>
      <c r="E527" s="25" t="s">
        <v>1181</v>
      </c>
      <c r="F527" s="25" t="s">
        <v>615</v>
      </c>
      <c r="G527" s="79">
        <f t="shared" si="33"/>
        <v>45286</v>
      </c>
      <c r="H527" s="14">
        <v>6641270205</v>
      </c>
      <c r="J527" s="19" t="s">
        <v>1281</v>
      </c>
      <c r="K527" s="25" t="s">
        <v>1182</v>
      </c>
      <c r="L527" s="25" t="s">
        <v>174</v>
      </c>
      <c r="M527" s="25" t="s">
        <v>610</v>
      </c>
      <c r="N527" s="25">
        <v>2</v>
      </c>
      <c r="O527" s="25">
        <v>211.44</v>
      </c>
      <c r="P527" s="106">
        <f t="shared" si="32"/>
        <v>422.88</v>
      </c>
      <c r="R527" s="24">
        <v>45600</v>
      </c>
      <c r="S527" s="26">
        <v>3011795715</v>
      </c>
      <c r="T527" s="24">
        <v>45664</v>
      </c>
      <c r="U527" s="25">
        <v>2</v>
      </c>
      <c r="V527" s="25" t="s">
        <v>1034</v>
      </c>
    </row>
    <row r="528" spans="1:25" s="30" customFormat="1" ht="14.45" customHeight="1" x14ac:dyDescent="0.25">
      <c r="A528" s="28">
        <v>512</v>
      </c>
      <c r="B528" s="29">
        <v>45639</v>
      </c>
      <c r="C528" s="29">
        <v>45642</v>
      </c>
      <c r="D528" s="30" t="s">
        <v>1082</v>
      </c>
      <c r="E528" s="30" t="s">
        <v>309</v>
      </c>
      <c r="F528" s="30" t="s">
        <v>1083</v>
      </c>
      <c r="G528" s="80">
        <f t="shared" si="33"/>
        <v>45692</v>
      </c>
      <c r="H528" s="15">
        <v>8136630701</v>
      </c>
      <c r="J528" s="30" t="s">
        <v>1084</v>
      </c>
      <c r="K528" s="30" t="s">
        <v>1085</v>
      </c>
      <c r="L528" s="30" t="s">
        <v>154</v>
      </c>
      <c r="M528" s="30" t="s">
        <v>639</v>
      </c>
      <c r="N528" s="30">
        <v>1</v>
      </c>
      <c r="O528" s="30">
        <v>270.3</v>
      </c>
      <c r="P528" s="107">
        <f t="shared" si="32"/>
        <v>270.3</v>
      </c>
      <c r="R528" s="29"/>
      <c r="S528" s="31"/>
      <c r="T528" s="29"/>
    </row>
    <row r="529" spans="1:25" s="30" customFormat="1" x14ac:dyDescent="0.25">
      <c r="A529" s="28">
        <v>513</v>
      </c>
      <c r="B529" s="29">
        <v>45639</v>
      </c>
      <c r="C529" s="29">
        <v>45642</v>
      </c>
      <c r="D529" s="30" t="s">
        <v>1082</v>
      </c>
      <c r="E529" s="30" t="s">
        <v>309</v>
      </c>
      <c r="F529" s="30" t="s">
        <v>1083</v>
      </c>
      <c r="G529" s="80">
        <f t="shared" ref="G529:G535" si="34">_xlfn.IFNA(VLOOKUP(F529,TAX,2,FALSE), "NEED FORM")</f>
        <v>45692</v>
      </c>
      <c r="H529" s="15">
        <v>8136630701</v>
      </c>
      <c r="J529" s="30" t="s">
        <v>1084</v>
      </c>
      <c r="K529" s="30" t="s">
        <v>1085</v>
      </c>
      <c r="L529" s="30" t="s">
        <v>154</v>
      </c>
      <c r="M529" s="30" t="s">
        <v>608</v>
      </c>
      <c r="N529" s="30">
        <v>2</v>
      </c>
      <c r="O529" s="30">
        <v>211.44</v>
      </c>
      <c r="P529" s="107">
        <f t="shared" si="32"/>
        <v>422.88</v>
      </c>
      <c r="R529" s="29"/>
      <c r="S529" s="31"/>
      <c r="T529" s="29"/>
    </row>
    <row r="530" spans="1:25" s="30" customFormat="1" x14ac:dyDescent="0.25">
      <c r="A530" s="28">
        <v>514</v>
      </c>
      <c r="B530" s="29">
        <v>45639</v>
      </c>
      <c r="C530" s="29">
        <v>45642</v>
      </c>
      <c r="D530" s="30" t="s">
        <v>1082</v>
      </c>
      <c r="E530" s="30" t="s">
        <v>309</v>
      </c>
      <c r="F530" s="30" t="s">
        <v>1083</v>
      </c>
      <c r="G530" s="80">
        <f t="shared" si="34"/>
        <v>45692</v>
      </c>
      <c r="H530" s="15">
        <v>8136630701</v>
      </c>
      <c r="J530" s="30" t="s">
        <v>1084</v>
      </c>
      <c r="K530" s="30" t="s">
        <v>1085</v>
      </c>
      <c r="L530" s="30" t="s">
        <v>154</v>
      </c>
      <c r="M530" s="30" t="s">
        <v>610</v>
      </c>
      <c r="N530" s="30">
        <v>5</v>
      </c>
      <c r="O530" s="30">
        <v>206.64</v>
      </c>
      <c r="P530" s="107">
        <f t="shared" si="32"/>
        <v>1033.1999999999998</v>
      </c>
      <c r="R530" s="29"/>
      <c r="S530" s="31"/>
      <c r="T530" s="29"/>
    </row>
    <row r="531" spans="1:25" s="30" customFormat="1" x14ac:dyDescent="0.25">
      <c r="A531" s="28">
        <v>515</v>
      </c>
      <c r="B531" s="29">
        <v>45639</v>
      </c>
      <c r="C531" s="29">
        <v>45642</v>
      </c>
      <c r="D531" s="30" t="s">
        <v>1082</v>
      </c>
      <c r="E531" s="30" t="s">
        <v>309</v>
      </c>
      <c r="F531" s="30" t="s">
        <v>1083</v>
      </c>
      <c r="G531" s="80">
        <f t="shared" si="34"/>
        <v>45692</v>
      </c>
      <c r="H531" s="15">
        <v>8136630701</v>
      </c>
      <c r="J531" s="30" t="s">
        <v>1084</v>
      </c>
      <c r="K531" s="30" t="s">
        <v>1085</v>
      </c>
      <c r="L531" s="30" t="s">
        <v>154</v>
      </c>
      <c r="M531" s="30" t="s">
        <v>610</v>
      </c>
      <c r="N531" s="30">
        <v>2</v>
      </c>
      <c r="O531" s="30">
        <v>211.44</v>
      </c>
      <c r="P531" s="107">
        <f t="shared" si="32"/>
        <v>422.88</v>
      </c>
      <c r="R531" s="29"/>
      <c r="S531" s="31"/>
      <c r="T531" s="29"/>
    </row>
    <row r="532" spans="1:25" s="25" customFormat="1" x14ac:dyDescent="0.25">
      <c r="A532" s="23">
        <v>516</v>
      </c>
      <c r="B532" s="24">
        <v>45643</v>
      </c>
      <c r="C532" s="24">
        <v>45643</v>
      </c>
      <c r="D532" s="25" t="s">
        <v>87</v>
      </c>
      <c r="E532" s="25" t="s">
        <v>128</v>
      </c>
      <c r="F532" s="25" t="s">
        <v>1251</v>
      </c>
      <c r="G532" s="79">
        <f t="shared" si="34"/>
        <v>45411</v>
      </c>
      <c r="H532" s="266">
        <v>6096518511</v>
      </c>
      <c r="J532" s="243" t="s">
        <v>1252</v>
      </c>
      <c r="K532" s="25" t="s">
        <v>297</v>
      </c>
      <c r="L532" s="25" t="s">
        <v>96</v>
      </c>
      <c r="M532" s="25" t="s">
        <v>723</v>
      </c>
      <c r="N532" s="25">
        <v>1</v>
      </c>
      <c r="O532" s="25">
        <v>270.31</v>
      </c>
      <c r="P532" s="106">
        <f t="shared" ref="P532:P535" si="35">N532*O532+Q532</f>
        <v>270.31</v>
      </c>
      <c r="R532" s="24">
        <v>45646</v>
      </c>
      <c r="S532" s="26">
        <v>20246861</v>
      </c>
      <c r="T532" s="24">
        <v>45667</v>
      </c>
      <c r="U532" s="25">
        <v>1</v>
      </c>
      <c r="V532" s="25" t="s">
        <v>1298</v>
      </c>
    </row>
    <row r="533" spans="1:25" s="30" customFormat="1" x14ac:dyDescent="0.25">
      <c r="A533" s="28">
        <v>517</v>
      </c>
      <c r="B533" s="29">
        <v>45643</v>
      </c>
      <c r="C533" s="29">
        <v>45643</v>
      </c>
      <c r="D533" s="30" t="s">
        <v>87</v>
      </c>
      <c r="E533" s="30" t="s">
        <v>128</v>
      </c>
      <c r="F533" s="30" t="s">
        <v>1251</v>
      </c>
      <c r="G533" s="80">
        <f t="shared" si="34"/>
        <v>45411</v>
      </c>
      <c r="H533" s="264">
        <v>6096518511</v>
      </c>
      <c r="J533" s="134" t="s">
        <v>1252</v>
      </c>
      <c r="K533" s="30" t="s">
        <v>297</v>
      </c>
      <c r="L533" s="30" t="s">
        <v>96</v>
      </c>
      <c r="M533" s="30" t="s">
        <v>608</v>
      </c>
      <c r="N533" s="30">
        <v>3</v>
      </c>
      <c r="O533" s="30">
        <v>211.44</v>
      </c>
      <c r="P533" s="107">
        <f t="shared" si="35"/>
        <v>634.31999999999994</v>
      </c>
      <c r="R533" s="29"/>
      <c r="S533" s="31"/>
      <c r="T533" s="29"/>
    </row>
    <row r="534" spans="1:25" s="30" customFormat="1" x14ac:dyDescent="0.25">
      <c r="A534" s="28">
        <v>518</v>
      </c>
      <c r="B534" s="29">
        <v>45643</v>
      </c>
      <c r="C534" s="29">
        <v>45643</v>
      </c>
      <c r="D534" s="30" t="s">
        <v>87</v>
      </c>
      <c r="E534" s="30" t="s">
        <v>128</v>
      </c>
      <c r="F534" s="30" t="s">
        <v>1251</v>
      </c>
      <c r="G534" s="80">
        <f t="shared" si="34"/>
        <v>45411</v>
      </c>
      <c r="H534" s="264">
        <v>6096518511</v>
      </c>
      <c r="J534" s="134" t="s">
        <v>1252</v>
      </c>
      <c r="K534" s="30" t="s">
        <v>297</v>
      </c>
      <c r="L534" s="30" t="s">
        <v>96</v>
      </c>
      <c r="M534" s="30" t="s">
        <v>610</v>
      </c>
      <c r="N534" s="30">
        <v>5</v>
      </c>
      <c r="O534" s="30">
        <v>206.64</v>
      </c>
      <c r="P534" s="107">
        <f t="shared" si="35"/>
        <v>1033.1999999999998</v>
      </c>
      <c r="R534" s="29"/>
      <c r="S534" s="31"/>
      <c r="T534" s="29"/>
    </row>
    <row r="535" spans="1:25" s="30" customFormat="1" x14ac:dyDescent="0.25">
      <c r="A535" s="28">
        <v>519</v>
      </c>
      <c r="B535" s="29">
        <v>45643</v>
      </c>
      <c r="C535" s="29">
        <v>45643</v>
      </c>
      <c r="D535" s="30" t="s">
        <v>87</v>
      </c>
      <c r="E535" s="30" t="s">
        <v>128</v>
      </c>
      <c r="F535" s="30" t="s">
        <v>1251</v>
      </c>
      <c r="G535" s="80">
        <f t="shared" si="34"/>
        <v>45411</v>
      </c>
      <c r="H535" s="264">
        <v>6096518511</v>
      </c>
      <c r="J535" s="134" t="s">
        <v>1252</v>
      </c>
      <c r="K535" s="30" t="s">
        <v>297</v>
      </c>
      <c r="L535" s="30" t="s">
        <v>96</v>
      </c>
      <c r="M535" s="30" t="s">
        <v>611</v>
      </c>
      <c r="N535" s="30">
        <v>7</v>
      </c>
      <c r="O535" s="30">
        <v>206.64</v>
      </c>
      <c r="P535" s="107">
        <f t="shared" si="35"/>
        <v>1446.48</v>
      </c>
      <c r="R535" s="29"/>
      <c r="S535" s="31"/>
      <c r="T535" s="29"/>
    </row>
    <row r="536" spans="1:25" s="30" customFormat="1" x14ac:dyDescent="0.25">
      <c r="A536" s="28">
        <v>520</v>
      </c>
      <c r="B536" s="29">
        <v>45643</v>
      </c>
      <c r="C536" s="29">
        <v>45643</v>
      </c>
      <c r="D536" s="30" t="s">
        <v>1476</v>
      </c>
      <c r="E536" s="30" t="s">
        <v>1477</v>
      </c>
      <c r="F536" s="30" t="s">
        <v>1478</v>
      </c>
      <c r="G536" s="80" t="str">
        <f t="shared" ref="G536:G541" si="36">_xlfn.IFNA(VLOOKUP(F536,TAX,2,FALSE), "NEED FORM")</f>
        <v>NEED FORM</v>
      </c>
      <c r="H536" s="342" t="s">
        <v>1479</v>
      </c>
      <c r="J536" s="134" t="s">
        <v>1480</v>
      </c>
      <c r="K536" s="30" t="s">
        <v>297</v>
      </c>
      <c r="L536" s="30" t="s">
        <v>96</v>
      </c>
      <c r="M536" s="30" t="s">
        <v>639</v>
      </c>
      <c r="N536" s="30">
        <v>7</v>
      </c>
      <c r="O536" s="30">
        <v>206.64</v>
      </c>
      <c r="P536" s="107">
        <f t="shared" ref="P536:P541" si="37">N536*O536+Q536</f>
        <v>1446.48</v>
      </c>
      <c r="R536" s="29"/>
      <c r="S536" s="31"/>
      <c r="T536" s="29"/>
    </row>
    <row r="537" spans="1:25" s="30" customFormat="1" x14ac:dyDescent="0.25">
      <c r="A537" s="28">
        <v>521</v>
      </c>
      <c r="B537" s="29">
        <v>45643</v>
      </c>
      <c r="C537" s="29">
        <v>45643</v>
      </c>
      <c r="D537" s="30" t="s">
        <v>1476</v>
      </c>
      <c r="E537" s="30" t="s">
        <v>1477</v>
      </c>
      <c r="F537" s="30" t="s">
        <v>1478</v>
      </c>
      <c r="G537" s="80" t="str">
        <f t="shared" si="36"/>
        <v>NEED FORM</v>
      </c>
      <c r="H537" s="342" t="s">
        <v>1479</v>
      </c>
      <c r="J537" s="134" t="s">
        <v>1480</v>
      </c>
      <c r="K537" s="30" t="s">
        <v>297</v>
      </c>
      <c r="L537" s="30" t="s">
        <v>96</v>
      </c>
      <c r="M537" s="30" t="s">
        <v>608</v>
      </c>
      <c r="N537" s="30">
        <v>3</v>
      </c>
      <c r="O537" s="30">
        <v>211.44</v>
      </c>
      <c r="P537" s="107">
        <f t="shared" si="37"/>
        <v>634.31999999999994</v>
      </c>
      <c r="R537" s="29"/>
      <c r="S537" s="31"/>
      <c r="T537" s="29"/>
    </row>
    <row r="538" spans="1:25" s="30" customFormat="1" x14ac:dyDescent="0.25">
      <c r="A538" s="28">
        <v>522</v>
      </c>
      <c r="B538" s="29">
        <v>45643</v>
      </c>
      <c r="C538" s="29">
        <v>45643</v>
      </c>
      <c r="D538" s="30" t="s">
        <v>1476</v>
      </c>
      <c r="E538" s="30" t="s">
        <v>1477</v>
      </c>
      <c r="F538" s="30" t="s">
        <v>1478</v>
      </c>
      <c r="G538" s="80" t="str">
        <f t="shared" si="36"/>
        <v>NEED FORM</v>
      </c>
      <c r="H538" s="342" t="s">
        <v>1479</v>
      </c>
      <c r="J538" s="134" t="s">
        <v>1480</v>
      </c>
      <c r="K538" s="30" t="s">
        <v>297</v>
      </c>
      <c r="L538" s="30" t="s">
        <v>96</v>
      </c>
      <c r="M538" s="30" t="s">
        <v>610</v>
      </c>
      <c r="N538" s="30">
        <v>5</v>
      </c>
      <c r="O538" s="30">
        <v>206.64</v>
      </c>
      <c r="P538" s="107">
        <f t="shared" si="37"/>
        <v>1033.1999999999998</v>
      </c>
      <c r="R538" s="29"/>
      <c r="S538" s="31"/>
      <c r="T538" s="29"/>
    </row>
    <row r="539" spans="1:25" s="30" customFormat="1" x14ac:dyDescent="0.25">
      <c r="A539" s="28">
        <v>523</v>
      </c>
      <c r="B539" s="29">
        <v>45643</v>
      </c>
      <c r="C539" s="29">
        <v>45643</v>
      </c>
      <c r="D539" s="30" t="s">
        <v>1476</v>
      </c>
      <c r="E539" s="30" t="s">
        <v>1477</v>
      </c>
      <c r="F539" s="30" t="s">
        <v>1478</v>
      </c>
      <c r="G539" s="80" t="str">
        <f t="shared" si="36"/>
        <v>NEED FORM</v>
      </c>
      <c r="H539" s="342" t="s">
        <v>1479</v>
      </c>
      <c r="J539" s="134" t="s">
        <v>1480</v>
      </c>
      <c r="K539" s="30" t="s">
        <v>297</v>
      </c>
      <c r="L539" s="30" t="s">
        <v>96</v>
      </c>
      <c r="M539" s="30" t="s">
        <v>611</v>
      </c>
      <c r="N539" s="30">
        <v>7</v>
      </c>
      <c r="O539" s="30">
        <v>206.64</v>
      </c>
      <c r="P539" s="107">
        <f t="shared" si="37"/>
        <v>1446.48</v>
      </c>
      <c r="R539" s="29"/>
      <c r="S539" s="31"/>
      <c r="T539" s="29"/>
    </row>
    <row r="540" spans="1:25" s="25" customFormat="1" x14ac:dyDescent="0.25">
      <c r="A540" s="23">
        <v>524</v>
      </c>
      <c r="B540" s="24">
        <v>45644</v>
      </c>
      <c r="C540" s="24">
        <v>45644</v>
      </c>
      <c r="D540" s="25" t="s">
        <v>234</v>
      </c>
      <c r="E540" s="25" t="s">
        <v>877</v>
      </c>
      <c r="F540" s="25" t="s">
        <v>361</v>
      </c>
      <c r="G540" s="79">
        <f t="shared" si="36"/>
        <v>45336</v>
      </c>
      <c r="H540" s="14">
        <v>7143677024</v>
      </c>
      <c r="J540" s="122" t="s">
        <v>878</v>
      </c>
      <c r="K540" s="25" t="s">
        <v>879</v>
      </c>
      <c r="L540" s="25" t="s">
        <v>174</v>
      </c>
      <c r="M540" s="25" t="s">
        <v>610</v>
      </c>
      <c r="N540" s="25">
        <v>30</v>
      </c>
      <c r="O540" s="25">
        <v>174.06</v>
      </c>
      <c r="P540" s="106">
        <f t="shared" si="37"/>
        <v>5221.8</v>
      </c>
      <c r="R540" s="24">
        <v>45644</v>
      </c>
      <c r="S540" s="26" t="s">
        <v>1481</v>
      </c>
      <c r="T540" s="24">
        <v>45672</v>
      </c>
      <c r="U540" s="25">
        <v>30</v>
      </c>
      <c r="V540" s="115" t="s">
        <v>683</v>
      </c>
      <c r="X540" s="25" t="s">
        <v>1482</v>
      </c>
    </row>
    <row r="541" spans="1:25" s="25" customFormat="1" x14ac:dyDescent="0.25">
      <c r="A541" s="23">
        <v>515</v>
      </c>
      <c r="B541" s="24">
        <v>45645</v>
      </c>
      <c r="C541" s="24">
        <v>45645</v>
      </c>
      <c r="D541" s="25" t="s">
        <v>263</v>
      </c>
      <c r="E541" s="25" t="s">
        <v>1372</v>
      </c>
      <c r="F541" s="25" t="s">
        <v>1373</v>
      </c>
      <c r="G541" s="79">
        <f t="shared" si="36"/>
        <v>45470</v>
      </c>
      <c r="H541" s="266">
        <v>7703122298</v>
      </c>
      <c r="J541" s="25" t="s">
        <v>1374</v>
      </c>
      <c r="K541" s="25" t="s">
        <v>1483</v>
      </c>
      <c r="L541" s="25" t="s">
        <v>1484</v>
      </c>
      <c r="M541" s="25" t="s">
        <v>610</v>
      </c>
      <c r="N541" s="25">
        <v>2</v>
      </c>
      <c r="O541" s="25">
        <v>211.44</v>
      </c>
      <c r="P541" s="106">
        <f t="shared" si="37"/>
        <v>422.88</v>
      </c>
      <c r="R541" s="24">
        <v>45645</v>
      </c>
      <c r="S541" s="26">
        <v>818111</v>
      </c>
      <c r="T541" s="24">
        <v>45673</v>
      </c>
      <c r="U541" s="25">
        <v>2</v>
      </c>
      <c r="V541" s="25" t="s">
        <v>1041</v>
      </c>
      <c r="W541" s="25" t="s">
        <v>24</v>
      </c>
      <c r="Y541" s="25" t="s">
        <v>1375</v>
      </c>
    </row>
    <row r="542" spans="1:25" s="30" customFormat="1" x14ac:dyDescent="0.25">
      <c r="A542" s="28">
        <v>526</v>
      </c>
      <c r="B542" s="29">
        <v>45649</v>
      </c>
      <c r="C542" s="29">
        <v>45649</v>
      </c>
      <c r="D542" s="30" t="s">
        <v>1485</v>
      </c>
      <c r="E542" s="30" t="s">
        <v>1403</v>
      </c>
      <c r="F542" s="30" t="s">
        <v>1404</v>
      </c>
      <c r="G542" s="80" t="str">
        <f t="shared" si="30"/>
        <v>NEED FORM</v>
      </c>
      <c r="H542" s="264"/>
      <c r="J542" s="120" t="s">
        <v>1405</v>
      </c>
      <c r="M542" s="30" t="s">
        <v>611</v>
      </c>
      <c r="N542" s="30">
        <v>2</v>
      </c>
      <c r="O542" s="30">
        <v>211.44</v>
      </c>
      <c r="P542" s="107">
        <f t="shared" si="32"/>
        <v>422.88</v>
      </c>
      <c r="R542" s="29"/>
      <c r="S542" s="31"/>
      <c r="T542" s="29"/>
    </row>
    <row r="543" spans="1:25" s="30" customFormat="1" x14ac:dyDescent="0.25">
      <c r="A543" s="28">
        <v>527</v>
      </c>
      <c r="B543" s="29">
        <v>45649</v>
      </c>
      <c r="C543" s="29">
        <v>45649</v>
      </c>
      <c r="D543" s="30" t="s">
        <v>1485</v>
      </c>
      <c r="E543" s="30" t="s">
        <v>1403</v>
      </c>
      <c r="F543" s="30" t="s">
        <v>1404</v>
      </c>
      <c r="G543" s="80" t="str">
        <f t="shared" ref="G543:G544" si="38">_xlfn.IFNA(VLOOKUP(F543,TAX,2,FALSE), "NEED FORM")</f>
        <v>NEED FORM</v>
      </c>
      <c r="H543" s="264"/>
      <c r="J543" s="120" t="s">
        <v>1405</v>
      </c>
      <c r="M543" s="30" t="s">
        <v>639</v>
      </c>
      <c r="N543" s="30">
        <v>5</v>
      </c>
      <c r="O543" s="30">
        <v>206.64</v>
      </c>
      <c r="P543" s="107">
        <f t="shared" ref="P543:P544" si="39">N543*O543+Q543</f>
        <v>1033.1999999999998</v>
      </c>
      <c r="R543" s="29"/>
      <c r="S543" s="31"/>
      <c r="T543" s="29"/>
    </row>
    <row r="544" spans="1:25" s="25" customFormat="1" x14ac:dyDescent="0.25">
      <c r="A544" s="23">
        <v>528</v>
      </c>
      <c r="B544" s="24">
        <v>45659</v>
      </c>
      <c r="C544" s="24">
        <v>45659</v>
      </c>
      <c r="D544" s="25" t="s">
        <v>68</v>
      </c>
      <c r="E544" s="25" t="s">
        <v>1183</v>
      </c>
      <c r="F544" s="25" t="s">
        <v>361</v>
      </c>
      <c r="G544" s="79">
        <f t="shared" si="38"/>
        <v>45336</v>
      </c>
      <c r="H544" s="14">
        <v>7143677024</v>
      </c>
      <c r="J544" s="125" t="s">
        <v>1486</v>
      </c>
      <c r="K544" s="25" t="s">
        <v>879</v>
      </c>
      <c r="L544" s="25" t="s">
        <v>174</v>
      </c>
      <c r="M544" s="25" t="s">
        <v>610</v>
      </c>
      <c r="N544" s="25">
        <v>4</v>
      </c>
      <c r="O544" s="25">
        <v>317.16000000000003</v>
      </c>
      <c r="P544" s="106">
        <f t="shared" si="39"/>
        <v>1268.6400000000001</v>
      </c>
      <c r="R544" s="24">
        <v>45664</v>
      </c>
      <c r="S544" s="26" t="s">
        <v>1487</v>
      </c>
      <c r="T544" s="24">
        <v>45665</v>
      </c>
      <c r="U544" s="25">
        <v>4</v>
      </c>
      <c r="V544" s="115" t="s">
        <v>683</v>
      </c>
    </row>
    <row r="545" spans="1:20" s="30" customFormat="1" x14ac:dyDescent="0.25">
      <c r="A545" s="28">
        <v>529</v>
      </c>
      <c r="B545" s="29">
        <v>45663</v>
      </c>
      <c r="C545" s="29">
        <v>45663</v>
      </c>
      <c r="D545" s="30" t="s">
        <v>1488</v>
      </c>
      <c r="E545" s="30" t="s">
        <v>179</v>
      </c>
      <c r="F545" s="30" t="s">
        <v>1400</v>
      </c>
      <c r="G545" s="80" t="str">
        <f>_xlfn.IFNA(VLOOKUP(F545,TAX,2,FALSE), "NEED FORM")</f>
        <v>NEED FORM</v>
      </c>
      <c r="H545" s="264">
        <v>8004584001</v>
      </c>
      <c r="J545" s="30" t="s">
        <v>1401</v>
      </c>
      <c r="M545" s="30" t="s">
        <v>610</v>
      </c>
      <c r="N545" s="30">
        <v>4</v>
      </c>
      <c r="O545" s="30">
        <v>211.44</v>
      </c>
      <c r="P545" s="107">
        <f t="shared" si="32"/>
        <v>845.76</v>
      </c>
      <c r="R545" s="29"/>
      <c r="S545" s="31"/>
      <c r="T545" s="29"/>
    </row>
    <row r="546" spans="1:20" s="30" customFormat="1" x14ac:dyDescent="0.25">
      <c r="A546" s="28">
        <v>530</v>
      </c>
      <c r="B546" s="29">
        <v>45664</v>
      </c>
      <c r="C546" s="29">
        <v>45664</v>
      </c>
      <c r="D546" s="30" t="s">
        <v>322</v>
      </c>
      <c r="E546" s="30" t="s">
        <v>1489</v>
      </c>
      <c r="F546" s="30" t="s">
        <v>667</v>
      </c>
      <c r="G546" s="80">
        <v>45310</v>
      </c>
      <c r="H546" s="264">
        <v>4092423351</v>
      </c>
      <c r="J546" s="127" t="s">
        <v>1490</v>
      </c>
      <c r="K546" s="30" t="s">
        <v>669</v>
      </c>
      <c r="L546" s="30" t="s">
        <v>144</v>
      </c>
      <c r="M546" s="30" t="s">
        <v>608</v>
      </c>
      <c r="N546" s="30">
        <v>10</v>
      </c>
      <c r="O546" s="30">
        <v>201.83</v>
      </c>
      <c r="P546" s="108">
        <f t="shared" si="32"/>
        <v>2018.3000000000002</v>
      </c>
      <c r="R546" s="29"/>
      <c r="S546" s="31"/>
      <c r="T546" s="29"/>
    </row>
    <row r="547" spans="1:20" s="30" customFormat="1" x14ac:dyDescent="0.25">
      <c r="A547" s="28">
        <v>531</v>
      </c>
      <c r="B547" s="29">
        <v>45664</v>
      </c>
      <c r="C547" s="29">
        <v>45664</v>
      </c>
      <c r="D547" s="30" t="s">
        <v>322</v>
      </c>
      <c r="E547" s="30" t="s">
        <v>1489</v>
      </c>
      <c r="F547" s="30" t="s">
        <v>667</v>
      </c>
      <c r="G547" s="80">
        <v>45310</v>
      </c>
      <c r="H547" s="264">
        <v>4092423351</v>
      </c>
      <c r="J547" s="127" t="s">
        <v>1490</v>
      </c>
      <c r="K547" s="30" t="s">
        <v>669</v>
      </c>
      <c r="L547" s="30" t="s">
        <v>144</v>
      </c>
      <c r="M547" s="30" t="s">
        <v>610</v>
      </c>
      <c r="N547" s="30">
        <v>10</v>
      </c>
      <c r="O547" s="30">
        <v>201.83</v>
      </c>
      <c r="P547" s="108">
        <f t="shared" si="32"/>
        <v>2018.3000000000002</v>
      </c>
      <c r="R547" s="29"/>
      <c r="S547" s="31"/>
      <c r="T547" s="29"/>
    </row>
    <row r="548" spans="1:20" s="30" customFormat="1" x14ac:dyDescent="0.25">
      <c r="A548" s="28">
        <v>532</v>
      </c>
      <c r="B548" s="29">
        <v>45664</v>
      </c>
      <c r="C548" s="29">
        <v>45664</v>
      </c>
      <c r="D548" s="30" t="s">
        <v>322</v>
      </c>
      <c r="E548" s="30" t="s">
        <v>1489</v>
      </c>
      <c r="F548" s="30" t="s">
        <v>667</v>
      </c>
      <c r="G548" s="80">
        <v>45310</v>
      </c>
      <c r="H548" s="264">
        <v>4092423351</v>
      </c>
      <c r="J548" s="127" t="s">
        <v>1490</v>
      </c>
      <c r="K548" s="30" t="s">
        <v>669</v>
      </c>
      <c r="L548" s="30" t="s">
        <v>144</v>
      </c>
      <c r="M548" s="30" t="s">
        <v>611</v>
      </c>
      <c r="N548" s="30">
        <v>10</v>
      </c>
      <c r="O548" s="30">
        <v>201.83</v>
      </c>
      <c r="P548" s="108">
        <f t="shared" si="32"/>
        <v>2018.3000000000002</v>
      </c>
      <c r="R548" s="29"/>
      <c r="S548" s="31"/>
      <c r="T548" s="29"/>
    </row>
    <row r="549" spans="1:20" s="30" customFormat="1" x14ac:dyDescent="0.25">
      <c r="A549" s="28">
        <v>533</v>
      </c>
      <c r="B549" s="29"/>
      <c r="C549" s="29"/>
      <c r="G549" s="80" t="str">
        <f t="shared" si="30"/>
        <v>NEED FORM</v>
      </c>
      <c r="H549" s="264"/>
      <c r="P549" s="107">
        <f t="shared" si="32"/>
        <v>0</v>
      </c>
      <c r="R549" s="29"/>
      <c r="S549" s="31"/>
      <c r="T549" s="29"/>
    </row>
    <row r="550" spans="1:20" s="30" customFormat="1" x14ac:dyDescent="0.25">
      <c r="A550" s="28">
        <v>534</v>
      </c>
      <c r="B550" s="29"/>
      <c r="C550" s="29"/>
      <c r="G550" s="80" t="str">
        <f t="shared" si="30"/>
        <v>NEED FORM</v>
      </c>
      <c r="H550" s="264"/>
      <c r="P550" s="107">
        <f t="shared" si="32"/>
        <v>0</v>
      </c>
      <c r="R550" s="29"/>
      <c r="S550" s="31"/>
      <c r="T550" s="29"/>
    </row>
    <row r="551" spans="1:20" s="30" customFormat="1" x14ac:dyDescent="0.25">
      <c r="A551" s="28">
        <v>535</v>
      </c>
      <c r="B551" s="29"/>
      <c r="C551" s="29"/>
      <c r="G551" s="80" t="str">
        <f t="shared" ref="G551:G576" si="40">_xlfn.IFNA(VLOOKUP(F551,TAX,2,FALSE), "NEED FORM")</f>
        <v>NEED FORM</v>
      </c>
      <c r="H551" s="15"/>
      <c r="P551" s="107">
        <f t="shared" ref="P551:P576" si="41">N551*O551+Q551</f>
        <v>0</v>
      </c>
      <c r="R551" s="29"/>
      <c r="S551" s="31"/>
      <c r="T551" s="29"/>
    </row>
    <row r="552" spans="1:20" s="30" customFormat="1" x14ac:dyDescent="0.25">
      <c r="A552" s="28">
        <v>536</v>
      </c>
      <c r="B552" s="29"/>
      <c r="C552" s="29"/>
      <c r="G552" s="80" t="str">
        <f t="shared" si="40"/>
        <v>NEED FORM</v>
      </c>
      <c r="H552" s="15"/>
      <c r="P552" s="107">
        <f t="shared" si="41"/>
        <v>0</v>
      </c>
      <c r="R552" s="29"/>
      <c r="S552" s="31"/>
      <c r="T552" s="29"/>
    </row>
    <row r="553" spans="1:20" s="30" customFormat="1" x14ac:dyDescent="0.25">
      <c r="A553" s="28">
        <v>537</v>
      </c>
      <c r="B553" s="29"/>
      <c r="C553" s="29"/>
      <c r="G553" s="80" t="str">
        <f t="shared" si="40"/>
        <v>NEED FORM</v>
      </c>
      <c r="H553" s="264"/>
      <c r="P553" s="107">
        <f t="shared" si="41"/>
        <v>0</v>
      </c>
      <c r="R553" s="29"/>
      <c r="S553" s="31"/>
      <c r="T553" s="29"/>
    </row>
    <row r="554" spans="1:20" s="30" customFormat="1" x14ac:dyDescent="0.25">
      <c r="A554" s="28">
        <v>538</v>
      </c>
      <c r="B554" s="29"/>
      <c r="C554" s="29"/>
      <c r="G554" s="80" t="str">
        <f t="shared" si="40"/>
        <v>NEED FORM</v>
      </c>
      <c r="H554" s="264"/>
      <c r="P554" s="107">
        <f t="shared" si="41"/>
        <v>0</v>
      </c>
      <c r="R554" s="29"/>
      <c r="S554" s="31"/>
      <c r="T554" s="29"/>
    </row>
    <row r="555" spans="1:20" s="30" customFormat="1" x14ac:dyDescent="0.25">
      <c r="A555" s="28">
        <v>539</v>
      </c>
      <c r="B555" s="29"/>
      <c r="C555" s="29"/>
      <c r="G555" s="80" t="str">
        <f t="shared" si="40"/>
        <v>NEED FORM</v>
      </c>
      <c r="H555" s="264"/>
      <c r="P555" s="107">
        <f t="shared" si="41"/>
        <v>0</v>
      </c>
      <c r="R555" s="29"/>
      <c r="S555" s="31"/>
      <c r="T555" s="29"/>
    </row>
    <row r="556" spans="1:20" s="30" customFormat="1" x14ac:dyDescent="0.25">
      <c r="A556" s="28">
        <v>540</v>
      </c>
      <c r="B556" s="29"/>
      <c r="C556" s="29"/>
      <c r="G556" s="80" t="str">
        <f t="shared" si="40"/>
        <v>NEED FORM</v>
      </c>
      <c r="H556" s="264"/>
      <c r="P556" s="107">
        <f t="shared" si="41"/>
        <v>0</v>
      </c>
      <c r="R556" s="29"/>
      <c r="S556" s="31"/>
      <c r="T556" s="29"/>
    </row>
    <row r="557" spans="1:20" s="30" customFormat="1" x14ac:dyDescent="0.25">
      <c r="A557" s="28">
        <v>541</v>
      </c>
      <c r="B557" s="29"/>
      <c r="C557" s="29"/>
      <c r="G557" s="80" t="str">
        <f t="shared" si="40"/>
        <v>NEED FORM</v>
      </c>
      <c r="H557" s="264"/>
      <c r="P557" s="107">
        <f t="shared" si="41"/>
        <v>0</v>
      </c>
      <c r="R557" s="29"/>
      <c r="S557" s="31"/>
      <c r="T557" s="29"/>
    </row>
    <row r="558" spans="1:20" s="30" customFormat="1" x14ac:dyDescent="0.25">
      <c r="A558" s="28">
        <v>542</v>
      </c>
      <c r="B558" s="29"/>
      <c r="C558" s="29"/>
      <c r="G558" s="80" t="str">
        <f t="shared" si="40"/>
        <v>NEED FORM</v>
      </c>
      <c r="H558" s="264"/>
      <c r="P558" s="107">
        <f t="shared" si="41"/>
        <v>0</v>
      </c>
      <c r="R558" s="29"/>
      <c r="S558" s="31"/>
      <c r="T558" s="29"/>
    </row>
    <row r="559" spans="1:20" s="30" customFormat="1" x14ac:dyDescent="0.25">
      <c r="A559" s="28">
        <v>543</v>
      </c>
      <c r="B559" s="29"/>
      <c r="C559" s="29"/>
      <c r="G559" s="80" t="str">
        <f t="shared" si="40"/>
        <v>NEED FORM</v>
      </c>
      <c r="H559" s="264"/>
      <c r="P559" s="107">
        <f t="shared" si="41"/>
        <v>0</v>
      </c>
      <c r="R559" s="29"/>
      <c r="S559" s="31"/>
      <c r="T559" s="29"/>
    </row>
    <row r="560" spans="1:20" s="30" customFormat="1" x14ac:dyDescent="0.25">
      <c r="A560" s="28">
        <v>544</v>
      </c>
      <c r="B560" s="29"/>
      <c r="C560" s="29"/>
      <c r="G560" s="80" t="str">
        <f t="shared" si="40"/>
        <v>NEED FORM</v>
      </c>
      <c r="H560" s="264"/>
      <c r="P560" s="107">
        <f t="shared" si="41"/>
        <v>0</v>
      </c>
      <c r="R560" s="29"/>
      <c r="S560" s="31"/>
      <c r="T560" s="29"/>
    </row>
    <row r="561" spans="1:20" s="30" customFormat="1" x14ac:dyDescent="0.25">
      <c r="A561" s="28">
        <v>545</v>
      </c>
      <c r="B561" s="29"/>
      <c r="C561" s="29"/>
      <c r="G561" s="80" t="str">
        <f t="shared" si="40"/>
        <v>NEED FORM</v>
      </c>
      <c r="H561" s="264"/>
      <c r="P561" s="107">
        <f t="shared" si="41"/>
        <v>0</v>
      </c>
      <c r="R561" s="29"/>
      <c r="S561" s="31"/>
      <c r="T561" s="29"/>
    </row>
    <row r="562" spans="1:20" s="30" customFormat="1" x14ac:dyDescent="0.25">
      <c r="A562" s="28">
        <v>546</v>
      </c>
      <c r="B562" s="29"/>
      <c r="C562" s="29"/>
      <c r="G562" s="80" t="str">
        <f t="shared" si="40"/>
        <v>NEED FORM</v>
      </c>
      <c r="H562" s="264"/>
      <c r="P562" s="107">
        <f t="shared" si="41"/>
        <v>0</v>
      </c>
      <c r="R562" s="29"/>
      <c r="S562" s="31"/>
      <c r="T562" s="29"/>
    </row>
    <row r="563" spans="1:20" s="30" customFormat="1" x14ac:dyDescent="0.25">
      <c r="A563" s="28">
        <v>547</v>
      </c>
      <c r="B563" s="29"/>
      <c r="C563" s="29"/>
      <c r="G563" s="80" t="str">
        <f t="shared" si="40"/>
        <v>NEED FORM</v>
      </c>
      <c r="H563" s="264"/>
      <c r="P563" s="107">
        <f t="shared" si="41"/>
        <v>0</v>
      </c>
      <c r="R563" s="29"/>
      <c r="S563" s="31"/>
      <c r="T563" s="29"/>
    </row>
    <row r="564" spans="1:20" s="30" customFormat="1" x14ac:dyDescent="0.25">
      <c r="A564" s="28">
        <v>548</v>
      </c>
      <c r="B564" s="29"/>
      <c r="C564" s="29"/>
      <c r="G564" s="80" t="str">
        <f t="shared" si="40"/>
        <v>NEED FORM</v>
      </c>
      <c r="H564" s="264"/>
      <c r="P564" s="107">
        <f t="shared" si="41"/>
        <v>0</v>
      </c>
      <c r="R564" s="29"/>
      <c r="S564" s="31"/>
      <c r="T564" s="29"/>
    </row>
    <row r="565" spans="1:20" s="30" customFormat="1" x14ac:dyDescent="0.25">
      <c r="A565" s="28">
        <v>549</v>
      </c>
      <c r="B565" s="29"/>
      <c r="C565" s="29"/>
      <c r="G565" s="80" t="str">
        <f t="shared" si="40"/>
        <v>NEED FORM</v>
      </c>
      <c r="H565" s="15"/>
      <c r="P565" s="107">
        <f t="shared" si="41"/>
        <v>0</v>
      </c>
      <c r="R565" s="29"/>
      <c r="S565" s="31"/>
      <c r="T565" s="29"/>
    </row>
    <row r="566" spans="1:20" s="30" customFormat="1" x14ac:dyDescent="0.25">
      <c r="A566" s="28">
        <v>550</v>
      </c>
      <c r="B566" s="29"/>
      <c r="C566" s="29"/>
      <c r="G566" s="80" t="str">
        <f t="shared" si="40"/>
        <v>NEED FORM</v>
      </c>
      <c r="H566" s="15"/>
      <c r="P566" s="107">
        <f t="shared" si="41"/>
        <v>0</v>
      </c>
      <c r="R566" s="29"/>
      <c r="S566" s="31"/>
      <c r="T566" s="29"/>
    </row>
    <row r="567" spans="1:20" s="30" customFormat="1" x14ac:dyDescent="0.25">
      <c r="A567" s="28">
        <v>551</v>
      </c>
      <c r="B567" s="29"/>
      <c r="C567" s="29"/>
      <c r="G567" s="80" t="str">
        <f t="shared" si="40"/>
        <v>NEED FORM</v>
      </c>
      <c r="H567" s="15"/>
      <c r="P567" s="107">
        <f t="shared" si="41"/>
        <v>0</v>
      </c>
      <c r="R567" s="29"/>
      <c r="S567" s="31"/>
      <c r="T567" s="29"/>
    </row>
    <row r="568" spans="1:20" s="30" customFormat="1" x14ac:dyDescent="0.25">
      <c r="A568" s="28">
        <v>552</v>
      </c>
      <c r="B568" s="29"/>
      <c r="C568" s="29"/>
      <c r="G568" s="80" t="str">
        <f t="shared" si="40"/>
        <v>NEED FORM</v>
      </c>
      <c r="H568" s="15"/>
      <c r="P568" s="107">
        <f t="shared" si="41"/>
        <v>0</v>
      </c>
      <c r="R568" s="29"/>
      <c r="S568" s="31"/>
      <c r="T568" s="29"/>
    </row>
    <row r="569" spans="1:20" s="30" customFormat="1" x14ac:dyDescent="0.25">
      <c r="A569" s="28">
        <v>553</v>
      </c>
      <c r="B569" s="29"/>
      <c r="C569" s="29"/>
      <c r="G569" s="80" t="str">
        <f t="shared" si="40"/>
        <v>NEED FORM</v>
      </c>
      <c r="H569" s="15"/>
      <c r="P569" s="107">
        <f t="shared" si="41"/>
        <v>0</v>
      </c>
      <c r="R569" s="29"/>
      <c r="S569" s="31"/>
      <c r="T569" s="29"/>
    </row>
    <row r="570" spans="1:20" s="30" customFormat="1" x14ac:dyDescent="0.25">
      <c r="A570" s="28">
        <v>554</v>
      </c>
      <c r="B570" s="29"/>
      <c r="C570" s="29"/>
      <c r="G570" s="80" t="str">
        <f t="shared" si="40"/>
        <v>NEED FORM</v>
      </c>
      <c r="H570" s="264"/>
      <c r="P570" s="107">
        <f t="shared" si="41"/>
        <v>0</v>
      </c>
      <c r="R570" s="29"/>
      <c r="S570" s="31"/>
      <c r="T570" s="29"/>
    </row>
    <row r="571" spans="1:20" s="30" customFormat="1" x14ac:dyDescent="0.25">
      <c r="A571" s="28">
        <v>555</v>
      </c>
      <c r="B571" s="29"/>
      <c r="C571" s="29"/>
      <c r="G571" s="80" t="str">
        <f t="shared" si="40"/>
        <v>NEED FORM</v>
      </c>
      <c r="H571" s="264"/>
      <c r="P571" s="107">
        <f t="shared" si="41"/>
        <v>0</v>
      </c>
      <c r="R571" s="29"/>
      <c r="S571" s="31"/>
      <c r="T571" s="29"/>
    </row>
    <row r="572" spans="1:20" s="30" customFormat="1" x14ac:dyDescent="0.25">
      <c r="A572" s="28">
        <v>556</v>
      </c>
      <c r="B572" s="29"/>
      <c r="C572" s="29"/>
      <c r="G572" s="80" t="str">
        <f t="shared" si="40"/>
        <v>NEED FORM</v>
      </c>
      <c r="H572" s="264"/>
      <c r="P572" s="107">
        <f t="shared" si="41"/>
        <v>0</v>
      </c>
      <c r="R572" s="29"/>
      <c r="S572" s="31"/>
      <c r="T572" s="29"/>
    </row>
    <row r="573" spans="1:20" s="30" customFormat="1" x14ac:dyDescent="0.25">
      <c r="A573" s="28">
        <v>557</v>
      </c>
      <c r="B573" s="29"/>
      <c r="C573" s="29"/>
      <c r="G573" s="80" t="str">
        <f t="shared" si="40"/>
        <v>NEED FORM</v>
      </c>
      <c r="H573" s="264"/>
      <c r="P573" s="107">
        <f t="shared" si="41"/>
        <v>0</v>
      </c>
      <c r="R573" s="29"/>
      <c r="S573" s="31"/>
      <c r="T573" s="29"/>
    </row>
    <row r="574" spans="1:20" s="30" customFormat="1" x14ac:dyDescent="0.25">
      <c r="A574" s="28">
        <v>558</v>
      </c>
      <c r="B574" s="29"/>
      <c r="C574" s="29"/>
      <c r="G574" s="80" t="str">
        <f t="shared" si="40"/>
        <v>NEED FORM</v>
      </c>
      <c r="H574" s="264"/>
      <c r="P574" s="107">
        <f t="shared" si="41"/>
        <v>0</v>
      </c>
      <c r="R574" s="29"/>
      <c r="S574" s="31"/>
      <c r="T574" s="29"/>
    </row>
    <row r="575" spans="1:20" s="30" customFormat="1" x14ac:dyDescent="0.25">
      <c r="A575" s="28">
        <v>559</v>
      </c>
      <c r="B575" s="29"/>
      <c r="C575" s="29"/>
      <c r="G575" s="80" t="str">
        <f t="shared" si="40"/>
        <v>NEED FORM</v>
      </c>
      <c r="H575" s="264"/>
      <c r="P575" s="107">
        <f t="shared" si="41"/>
        <v>0</v>
      </c>
      <c r="R575" s="29"/>
      <c r="S575" s="31"/>
      <c r="T575" s="29"/>
    </row>
    <row r="576" spans="1:20" s="30" customFormat="1" x14ac:dyDescent="0.25">
      <c r="A576" s="28">
        <v>560</v>
      </c>
      <c r="B576" s="29"/>
      <c r="C576" s="29"/>
      <c r="G576" s="80" t="str">
        <f t="shared" si="40"/>
        <v>NEED FORM</v>
      </c>
      <c r="H576" s="264"/>
      <c r="P576" s="107">
        <f t="shared" si="41"/>
        <v>0</v>
      </c>
      <c r="R576" s="29"/>
      <c r="S576" s="31"/>
      <c r="T576" s="29"/>
    </row>
    <row r="577" spans="1:20" s="30" customFormat="1" x14ac:dyDescent="0.25">
      <c r="A577" s="28">
        <v>561</v>
      </c>
      <c r="B577" s="29"/>
      <c r="C577" s="29"/>
      <c r="G577" s="80" t="str">
        <f t="shared" ref="G577:G600" si="42">_xlfn.IFNA(VLOOKUP(F577,TAX,2,FALSE), "NEED FORM")</f>
        <v>NEED FORM</v>
      </c>
      <c r="H577" s="264"/>
      <c r="P577" s="107">
        <f t="shared" ref="P577:P600" si="43">N577*O577+Q577</f>
        <v>0</v>
      </c>
      <c r="R577" s="29"/>
      <c r="S577" s="31"/>
      <c r="T577" s="29"/>
    </row>
    <row r="578" spans="1:20" s="30" customFormat="1" x14ac:dyDescent="0.25">
      <c r="A578" s="28">
        <v>562</v>
      </c>
      <c r="B578" s="29"/>
      <c r="C578" s="29"/>
      <c r="G578" s="80" t="str">
        <f t="shared" si="42"/>
        <v>NEED FORM</v>
      </c>
      <c r="H578" s="264"/>
      <c r="P578" s="107">
        <f t="shared" si="43"/>
        <v>0</v>
      </c>
      <c r="R578" s="29"/>
      <c r="S578" s="31"/>
      <c r="T578" s="29"/>
    </row>
    <row r="579" spans="1:20" s="30" customFormat="1" x14ac:dyDescent="0.25">
      <c r="A579" s="28">
        <v>563</v>
      </c>
      <c r="B579" s="29"/>
      <c r="C579" s="29"/>
      <c r="G579" s="80" t="str">
        <f t="shared" si="42"/>
        <v>NEED FORM</v>
      </c>
      <c r="H579" s="264"/>
      <c r="P579" s="107">
        <f t="shared" si="43"/>
        <v>0</v>
      </c>
      <c r="R579" s="29"/>
      <c r="S579" s="31"/>
      <c r="T579" s="29"/>
    </row>
    <row r="580" spans="1:20" s="30" customFormat="1" x14ac:dyDescent="0.25">
      <c r="A580" s="28">
        <v>564</v>
      </c>
      <c r="B580" s="29"/>
      <c r="C580" s="29"/>
      <c r="G580" s="80" t="str">
        <f t="shared" si="42"/>
        <v>NEED FORM</v>
      </c>
      <c r="H580" s="264"/>
      <c r="P580" s="107">
        <f t="shared" si="43"/>
        <v>0</v>
      </c>
      <c r="R580" s="29"/>
      <c r="S580" s="31"/>
      <c r="T580" s="29"/>
    </row>
    <row r="581" spans="1:20" s="30" customFormat="1" x14ac:dyDescent="0.25">
      <c r="A581" s="28">
        <v>565</v>
      </c>
      <c r="B581" s="29"/>
      <c r="C581" s="29"/>
      <c r="G581" s="80" t="str">
        <f t="shared" si="42"/>
        <v>NEED FORM</v>
      </c>
      <c r="H581" s="264"/>
      <c r="P581" s="107">
        <f t="shared" si="43"/>
        <v>0</v>
      </c>
      <c r="R581" s="29"/>
      <c r="S581" s="31"/>
      <c r="T581" s="29"/>
    </row>
    <row r="582" spans="1:20" s="30" customFormat="1" x14ac:dyDescent="0.25">
      <c r="A582" s="28">
        <v>566</v>
      </c>
      <c r="B582" s="29"/>
      <c r="C582" s="29"/>
      <c r="G582" s="80" t="str">
        <f t="shared" si="42"/>
        <v>NEED FORM</v>
      </c>
      <c r="H582" s="264"/>
      <c r="P582" s="107">
        <f t="shared" si="43"/>
        <v>0</v>
      </c>
      <c r="R582" s="29"/>
      <c r="S582" s="31"/>
      <c r="T582" s="29"/>
    </row>
    <row r="583" spans="1:20" s="30" customFormat="1" x14ac:dyDescent="0.25">
      <c r="A583" s="28">
        <v>567</v>
      </c>
      <c r="B583" s="29"/>
      <c r="C583" s="29"/>
      <c r="G583" s="80" t="str">
        <f t="shared" si="42"/>
        <v>NEED FORM</v>
      </c>
      <c r="H583" s="264"/>
      <c r="P583" s="107">
        <f t="shared" si="43"/>
        <v>0</v>
      </c>
      <c r="R583" s="29"/>
      <c r="S583" s="31"/>
      <c r="T583" s="29"/>
    </row>
    <row r="584" spans="1:20" s="30" customFormat="1" x14ac:dyDescent="0.25">
      <c r="A584" s="28">
        <v>568</v>
      </c>
      <c r="B584" s="29"/>
      <c r="C584" s="29"/>
      <c r="G584" s="80" t="str">
        <f t="shared" si="42"/>
        <v>NEED FORM</v>
      </c>
      <c r="H584" s="264"/>
      <c r="P584" s="107">
        <f t="shared" si="43"/>
        <v>0</v>
      </c>
      <c r="R584" s="29"/>
      <c r="S584" s="31"/>
      <c r="T584" s="29"/>
    </row>
    <row r="585" spans="1:20" s="30" customFormat="1" x14ac:dyDescent="0.25">
      <c r="A585" s="28">
        <v>569</v>
      </c>
      <c r="B585" s="29"/>
      <c r="C585" s="29"/>
      <c r="G585" s="80" t="str">
        <f t="shared" si="42"/>
        <v>NEED FORM</v>
      </c>
      <c r="H585" s="264"/>
      <c r="P585" s="107">
        <f t="shared" si="43"/>
        <v>0</v>
      </c>
      <c r="R585" s="29"/>
      <c r="S585" s="31"/>
      <c r="T585" s="29"/>
    </row>
    <row r="586" spans="1:20" s="30" customFormat="1" x14ac:dyDescent="0.25">
      <c r="A586" s="28">
        <v>570</v>
      </c>
      <c r="B586" s="29"/>
      <c r="C586" s="29"/>
      <c r="G586" s="80" t="str">
        <f t="shared" si="42"/>
        <v>NEED FORM</v>
      </c>
      <c r="H586" s="264"/>
      <c r="P586" s="107">
        <f t="shared" si="43"/>
        <v>0</v>
      </c>
      <c r="R586" s="29"/>
      <c r="S586" s="31"/>
      <c r="T586" s="29"/>
    </row>
    <row r="587" spans="1:20" s="30" customFormat="1" x14ac:dyDescent="0.25">
      <c r="A587" s="28">
        <v>571</v>
      </c>
      <c r="B587" s="29"/>
      <c r="C587" s="29"/>
      <c r="G587" s="80" t="str">
        <f t="shared" si="42"/>
        <v>NEED FORM</v>
      </c>
      <c r="H587" s="264"/>
      <c r="P587" s="107">
        <f t="shared" si="43"/>
        <v>0</v>
      </c>
      <c r="R587" s="29"/>
      <c r="S587" s="31"/>
      <c r="T587" s="29"/>
    </row>
    <row r="588" spans="1:20" s="30" customFormat="1" x14ac:dyDescent="0.25">
      <c r="A588" s="28">
        <v>572</v>
      </c>
      <c r="B588" s="29"/>
      <c r="C588" s="29"/>
      <c r="G588" s="80" t="str">
        <f t="shared" si="42"/>
        <v>NEED FORM</v>
      </c>
      <c r="H588" s="264"/>
      <c r="P588" s="107">
        <f t="shared" si="43"/>
        <v>0</v>
      </c>
      <c r="R588" s="29"/>
      <c r="S588" s="31"/>
      <c r="T588" s="29"/>
    </row>
    <row r="589" spans="1:20" s="30" customFormat="1" x14ac:dyDescent="0.25">
      <c r="A589" s="28">
        <v>573</v>
      </c>
      <c r="B589" s="29"/>
      <c r="C589" s="29"/>
      <c r="G589" s="80" t="str">
        <f t="shared" si="42"/>
        <v>NEED FORM</v>
      </c>
      <c r="H589" s="15"/>
      <c r="P589" s="107">
        <f t="shared" si="43"/>
        <v>0</v>
      </c>
      <c r="R589" s="29"/>
      <c r="S589" s="31"/>
      <c r="T589" s="29"/>
    </row>
    <row r="590" spans="1:20" s="30" customFormat="1" x14ac:dyDescent="0.25">
      <c r="A590" s="28">
        <v>574</v>
      </c>
      <c r="B590" s="29"/>
      <c r="C590" s="29"/>
      <c r="G590" s="80" t="str">
        <f t="shared" si="42"/>
        <v>NEED FORM</v>
      </c>
      <c r="H590" s="15"/>
      <c r="P590" s="107">
        <f t="shared" si="43"/>
        <v>0</v>
      </c>
      <c r="R590" s="29"/>
      <c r="S590" s="31"/>
      <c r="T590" s="29"/>
    </row>
    <row r="591" spans="1:20" s="30" customFormat="1" x14ac:dyDescent="0.25">
      <c r="A591" s="28">
        <v>575</v>
      </c>
      <c r="B591" s="29"/>
      <c r="C591" s="29"/>
      <c r="G591" s="80" t="str">
        <f t="shared" si="42"/>
        <v>NEED FORM</v>
      </c>
      <c r="H591" s="15"/>
      <c r="P591" s="107">
        <f t="shared" si="43"/>
        <v>0</v>
      </c>
      <c r="R591" s="29"/>
      <c r="S591" s="31"/>
      <c r="T591" s="29"/>
    </row>
    <row r="592" spans="1:20" s="30" customFormat="1" x14ac:dyDescent="0.25">
      <c r="A592" s="28">
        <v>576</v>
      </c>
      <c r="B592" s="29"/>
      <c r="C592" s="29"/>
      <c r="G592" s="80" t="str">
        <f t="shared" si="42"/>
        <v>NEED FORM</v>
      </c>
      <c r="H592" s="15"/>
      <c r="P592" s="107">
        <f t="shared" si="43"/>
        <v>0</v>
      </c>
      <c r="R592" s="29"/>
      <c r="S592" s="31"/>
      <c r="T592" s="29"/>
    </row>
    <row r="593" spans="1:20" s="30" customFormat="1" x14ac:dyDescent="0.25">
      <c r="A593" s="28">
        <v>577</v>
      </c>
      <c r="B593" s="29"/>
      <c r="C593" s="29"/>
      <c r="G593" s="80" t="str">
        <f t="shared" si="42"/>
        <v>NEED FORM</v>
      </c>
      <c r="H593" s="15"/>
      <c r="P593" s="107">
        <f t="shared" si="43"/>
        <v>0</v>
      </c>
      <c r="R593" s="29"/>
      <c r="S593" s="31"/>
      <c r="T593" s="29"/>
    </row>
    <row r="594" spans="1:20" s="30" customFormat="1" x14ac:dyDescent="0.25">
      <c r="A594" s="28">
        <v>578</v>
      </c>
      <c r="B594" s="29"/>
      <c r="C594" s="29"/>
      <c r="G594" s="80" t="str">
        <f t="shared" si="42"/>
        <v>NEED FORM</v>
      </c>
      <c r="H594" s="264"/>
      <c r="P594" s="107">
        <f t="shared" si="43"/>
        <v>0</v>
      </c>
      <c r="R594" s="29"/>
      <c r="S594" s="31"/>
      <c r="T594" s="29"/>
    </row>
    <row r="595" spans="1:20" s="30" customFormat="1" x14ac:dyDescent="0.25">
      <c r="A595" s="28">
        <v>579</v>
      </c>
      <c r="B595" s="29"/>
      <c r="C595" s="29"/>
      <c r="G595" s="80" t="str">
        <f t="shared" si="42"/>
        <v>NEED FORM</v>
      </c>
      <c r="H595" s="264"/>
      <c r="P595" s="107">
        <f t="shared" si="43"/>
        <v>0</v>
      </c>
      <c r="R595" s="29"/>
      <c r="S595" s="31"/>
      <c r="T595" s="29"/>
    </row>
    <row r="596" spans="1:20" s="30" customFormat="1" x14ac:dyDescent="0.25">
      <c r="A596" s="28">
        <v>580</v>
      </c>
      <c r="B596" s="29"/>
      <c r="C596" s="29"/>
      <c r="G596" s="80" t="str">
        <f t="shared" si="42"/>
        <v>NEED FORM</v>
      </c>
      <c r="H596" s="264"/>
      <c r="P596" s="107">
        <f t="shared" si="43"/>
        <v>0</v>
      </c>
      <c r="R596" s="29"/>
      <c r="S596" s="31"/>
      <c r="T596" s="29"/>
    </row>
    <row r="597" spans="1:20" s="30" customFormat="1" x14ac:dyDescent="0.25">
      <c r="A597" s="28">
        <v>581</v>
      </c>
      <c r="B597" s="29"/>
      <c r="C597" s="29"/>
      <c r="G597" s="80" t="str">
        <f t="shared" si="42"/>
        <v>NEED FORM</v>
      </c>
      <c r="H597" s="264"/>
      <c r="P597" s="107">
        <f t="shared" si="43"/>
        <v>0</v>
      </c>
      <c r="R597" s="29"/>
      <c r="S597" s="31"/>
      <c r="T597" s="29"/>
    </row>
    <row r="598" spans="1:20" s="30" customFormat="1" x14ac:dyDescent="0.25">
      <c r="A598" s="28">
        <v>582</v>
      </c>
      <c r="B598" s="29"/>
      <c r="C598" s="29"/>
      <c r="G598" s="80" t="str">
        <f t="shared" si="42"/>
        <v>NEED FORM</v>
      </c>
      <c r="H598" s="264"/>
      <c r="P598" s="107">
        <f t="shared" si="43"/>
        <v>0</v>
      </c>
      <c r="R598" s="29"/>
      <c r="S598" s="31"/>
      <c r="T598" s="29"/>
    </row>
    <row r="599" spans="1:20" s="30" customFormat="1" x14ac:dyDescent="0.25">
      <c r="A599" s="28">
        <v>583</v>
      </c>
      <c r="B599" s="29"/>
      <c r="C599" s="29"/>
      <c r="G599" s="80" t="str">
        <f t="shared" si="42"/>
        <v>NEED FORM</v>
      </c>
      <c r="H599" s="264"/>
      <c r="P599" s="107">
        <f t="shared" si="43"/>
        <v>0</v>
      </c>
      <c r="R599" s="29"/>
      <c r="S599" s="31"/>
      <c r="T599" s="29"/>
    </row>
    <row r="600" spans="1:20" s="30" customFormat="1" x14ac:dyDescent="0.25">
      <c r="A600" s="28">
        <v>584</v>
      </c>
      <c r="B600" s="29"/>
      <c r="C600" s="29"/>
      <c r="G600" s="80" t="str">
        <f t="shared" si="42"/>
        <v>NEED FORM</v>
      </c>
      <c r="H600" s="264"/>
      <c r="P600" s="107">
        <f t="shared" si="43"/>
        <v>0</v>
      </c>
      <c r="R600" s="29"/>
      <c r="S600" s="31"/>
      <c r="T600" s="29"/>
    </row>
    <row r="601" spans="1:20" s="30" customFormat="1" x14ac:dyDescent="0.25">
      <c r="A601" s="28">
        <v>585</v>
      </c>
      <c r="B601" s="29"/>
      <c r="C601" s="29"/>
      <c r="G601" s="80" t="str">
        <f t="shared" si="30"/>
        <v>NEED FORM</v>
      </c>
      <c r="H601" s="15"/>
      <c r="P601" s="107">
        <f t="shared" si="32"/>
        <v>0</v>
      </c>
      <c r="R601" s="29"/>
      <c r="S601" s="31"/>
      <c r="T601" s="29"/>
    </row>
    <row r="602" spans="1:20" s="30" customFormat="1" x14ac:dyDescent="0.25">
      <c r="A602" s="28">
        <v>586</v>
      </c>
      <c r="B602" s="29"/>
      <c r="C602" s="29"/>
      <c r="G602" s="80" t="str">
        <f t="shared" si="30"/>
        <v>NEED FORM</v>
      </c>
      <c r="H602" s="15"/>
      <c r="P602" s="107">
        <f t="shared" si="32"/>
        <v>0</v>
      </c>
      <c r="R602" s="29"/>
      <c r="S602" s="31"/>
      <c r="T602" s="29"/>
    </row>
    <row r="603" spans="1:20" s="30" customFormat="1" x14ac:dyDescent="0.25">
      <c r="A603" s="28">
        <v>587</v>
      </c>
      <c r="B603" s="29"/>
      <c r="C603" s="29"/>
      <c r="G603" s="80" t="str">
        <f t="shared" si="30"/>
        <v>NEED FORM</v>
      </c>
      <c r="H603" s="264"/>
      <c r="P603" s="107">
        <f t="shared" si="32"/>
        <v>0</v>
      </c>
      <c r="R603" s="29"/>
      <c r="S603" s="31"/>
      <c r="T603" s="29"/>
    </row>
    <row r="604" spans="1:20" s="30" customFormat="1" x14ac:dyDescent="0.25">
      <c r="A604" s="28">
        <v>588</v>
      </c>
      <c r="B604" s="29"/>
      <c r="C604" s="29"/>
      <c r="G604" s="80" t="str">
        <f t="shared" si="30"/>
        <v>NEED FORM</v>
      </c>
      <c r="H604" s="264"/>
      <c r="P604" s="107">
        <f t="shared" si="32"/>
        <v>0</v>
      </c>
      <c r="R604" s="29"/>
      <c r="S604" s="31"/>
      <c r="T604" s="29"/>
    </row>
    <row r="605" spans="1:20" s="30" customFormat="1" x14ac:dyDescent="0.25">
      <c r="A605" s="28">
        <v>589</v>
      </c>
      <c r="B605" s="29"/>
      <c r="C605" s="29"/>
      <c r="G605" s="80" t="str">
        <f t="shared" ref="G605:G628" si="44">_xlfn.IFNA(VLOOKUP(F605,TAX,2,FALSE), "NEED FORM")</f>
        <v>NEED FORM</v>
      </c>
      <c r="H605" s="264"/>
      <c r="P605" s="107">
        <f t="shared" si="32"/>
        <v>0</v>
      </c>
      <c r="R605" s="29"/>
      <c r="S605" s="31"/>
      <c r="T605" s="29"/>
    </row>
    <row r="606" spans="1:20" s="30" customFormat="1" x14ac:dyDescent="0.25">
      <c r="A606" s="28">
        <v>590</v>
      </c>
      <c r="B606" s="29"/>
      <c r="C606" s="29"/>
      <c r="G606" s="80" t="str">
        <f t="shared" si="44"/>
        <v>NEED FORM</v>
      </c>
      <c r="H606" s="264"/>
      <c r="P606" s="107">
        <f t="shared" si="32"/>
        <v>0</v>
      </c>
      <c r="R606" s="29"/>
      <c r="S606" s="31"/>
      <c r="T606" s="29"/>
    </row>
    <row r="607" spans="1:20" s="30" customFormat="1" x14ac:dyDescent="0.25">
      <c r="A607" s="28">
        <v>591</v>
      </c>
      <c r="B607" s="29"/>
      <c r="C607" s="29"/>
      <c r="G607" s="80" t="str">
        <f t="shared" si="44"/>
        <v>NEED FORM</v>
      </c>
      <c r="H607" s="264"/>
      <c r="P607" s="107">
        <f t="shared" si="32"/>
        <v>0</v>
      </c>
      <c r="R607" s="29"/>
      <c r="S607" s="31"/>
      <c r="T607" s="29"/>
    </row>
    <row r="608" spans="1:20" s="30" customFormat="1" x14ac:dyDescent="0.25">
      <c r="A608" s="28">
        <v>592</v>
      </c>
      <c r="B608" s="29"/>
      <c r="C608" s="29"/>
      <c r="G608" s="80" t="str">
        <f t="shared" si="44"/>
        <v>NEED FORM</v>
      </c>
      <c r="H608" s="264"/>
      <c r="P608" s="107">
        <f t="shared" si="32"/>
        <v>0</v>
      </c>
      <c r="R608" s="29"/>
      <c r="S608" s="31"/>
      <c r="T608" s="29"/>
    </row>
    <row r="609" spans="1:20" s="30" customFormat="1" x14ac:dyDescent="0.25">
      <c r="A609" s="28">
        <v>593</v>
      </c>
      <c r="B609" s="29"/>
      <c r="C609" s="29"/>
      <c r="G609" s="80" t="str">
        <f t="shared" si="44"/>
        <v>NEED FORM</v>
      </c>
      <c r="H609" s="264"/>
      <c r="P609" s="107">
        <f t="shared" si="32"/>
        <v>0</v>
      </c>
      <c r="R609" s="29"/>
      <c r="S609" s="31"/>
      <c r="T609" s="29"/>
    </row>
    <row r="610" spans="1:20" s="30" customFormat="1" x14ac:dyDescent="0.25">
      <c r="A610" s="28">
        <v>594</v>
      </c>
      <c r="B610" s="29"/>
      <c r="C610" s="29"/>
      <c r="G610" s="80" t="str">
        <f t="shared" si="44"/>
        <v>NEED FORM</v>
      </c>
      <c r="H610" s="264"/>
      <c r="P610" s="107">
        <f t="shared" si="32"/>
        <v>0</v>
      </c>
      <c r="R610" s="29"/>
      <c r="S610" s="31"/>
      <c r="T610" s="29"/>
    </row>
    <row r="611" spans="1:20" s="30" customFormat="1" x14ac:dyDescent="0.25">
      <c r="A611" s="28">
        <v>595</v>
      </c>
      <c r="B611" s="29"/>
      <c r="C611" s="29"/>
      <c r="G611" s="80" t="str">
        <f t="shared" si="44"/>
        <v>NEED FORM</v>
      </c>
      <c r="H611" s="264"/>
      <c r="P611" s="107">
        <f t="shared" si="32"/>
        <v>0</v>
      </c>
      <c r="R611" s="29"/>
      <c r="S611" s="31"/>
      <c r="T611" s="29"/>
    </row>
    <row r="612" spans="1:20" s="30" customFormat="1" x14ac:dyDescent="0.25">
      <c r="A612" s="28">
        <v>596</v>
      </c>
      <c r="B612" s="29"/>
      <c r="C612" s="29"/>
      <c r="G612" s="80" t="str">
        <f t="shared" si="44"/>
        <v>NEED FORM</v>
      </c>
      <c r="H612" s="264"/>
      <c r="P612" s="107">
        <f t="shared" si="32"/>
        <v>0</v>
      </c>
      <c r="R612" s="29"/>
      <c r="S612" s="31"/>
      <c r="T612" s="29"/>
    </row>
    <row r="613" spans="1:20" s="30" customFormat="1" x14ac:dyDescent="0.25">
      <c r="A613" s="28">
        <v>597</v>
      </c>
      <c r="B613" s="29"/>
      <c r="C613" s="29"/>
      <c r="G613" s="80" t="str">
        <f t="shared" si="44"/>
        <v>NEED FORM</v>
      </c>
      <c r="H613" s="264"/>
      <c r="P613" s="107">
        <f t="shared" si="32"/>
        <v>0</v>
      </c>
      <c r="R613" s="29"/>
      <c r="S613" s="31"/>
      <c r="T613" s="29"/>
    </row>
    <row r="614" spans="1:20" s="30" customFormat="1" x14ac:dyDescent="0.25">
      <c r="A614" s="28">
        <v>598</v>
      </c>
      <c r="B614" s="29"/>
      <c r="C614" s="29"/>
      <c r="G614" s="80" t="str">
        <f t="shared" si="44"/>
        <v>NEED FORM</v>
      </c>
      <c r="H614" s="264"/>
      <c r="P614" s="107">
        <f t="shared" si="32"/>
        <v>0</v>
      </c>
      <c r="R614" s="29"/>
      <c r="S614" s="31"/>
      <c r="T614" s="29"/>
    </row>
    <row r="615" spans="1:20" s="30" customFormat="1" x14ac:dyDescent="0.25">
      <c r="A615" s="28">
        <v>599</v>
      </c>
      <c r="B615" s="29"/>
      <c r="C615" s="29"/>
      <c r="G615" s="80" t="str">
        <f t="shared" si="44"/>
        <v>NEED FORM</v>
      </c>
      <c r="H615" s="15"/>
      <c r="P615" s="107">
        <f t="shared" si="32"/>
        <v>0</v>
      </c>
      <c r="R615" s="29"/>
      <c r="S615" s="31"/>
      <c r="T615" s="29"/>
    </row>
    <row r="616" spans="1:20" s="30" customFormat="1" x14ac:dyDescent="0.25">
      <c r="A616" s="28">
        <v>600</v>
      </c>
      <c r="B616" s="29"/>
      <c r="C616" s="29"/>
      <c r="G616" s="80" t="str">
        <f t="shared" si="44"/>
        <v>NEED FORM</v>
      </c>
      <c r="H616" s="15"/>
      <c r="P616" s="107">
        <f t="shared" si="32"/>
        <v>0</v>
      </c>
      <c r="R616" s="29"/>
      <c r="S616" s="31"/>
      <c r="T616" s="29"/>
    </row>
    <row r="617" spans="1:20" s="30" customFormat="1" x14ac:dyDescent="0.25">
      <c r="A617" s="28">
        <v>601</v>
      </c>
      <c r="B617" s="29"/>
      <c r="C617" s="29"/>
      <c r="G617" s="80" t="str">
        <f t="shared" si="44"/>
        <v>NEED FORM</v>
      </c>
      <c r="H617" s="15"/>
      <c r="P617" s="107">
        <f t="shared" si="32"/>
        <v>0</v>
      </c>
      <c r="R617" s="29"/>
      <c r="S617" s="31"/>
      <c r="T617" s="29"/>
    </row>
    <row r="618" spans="1:20" s="30" customFormat="1" x14ac:dyDescent="0.25">
      <c r="A618" s="28">
        <v>602</v>
      </c>
      <c r="B618" s="29"/>
      <c r="C618" s="29"/>
      <c r="G618" s="80" t="str">
        <f t="shared" si="44"/>
        <v>NEED FORM</v>
      </c>
      <c r="H618" s="15"/>
      <c r="P618" s="107">
        <f t="shared" si="32"/>
        <v>0</v>
      </c>
      <c r="R618" s="29"/>
      <c r="S618" s="31"/>
      <c r="T618" s="29"/>
    </row>
    <row r="619" spans="1:20" s="30" customFormat="1" x14ac:dyDescent="0.25">
      <c r="A619" s="28">
        <v>603</v>
      </c>
      <c r="B619" s="29"/>
      <c r="C619" s="29"/>
      <c r="G619" s="80" t="str">
        <f t="shared" si="44"/>
        <v>NEED FORM</v>
      </c>
      <c r="H619" s="15"/>
      <c r="P619" s="107">
        <f t="shared" si="32"/>
        <v>0</v>
      </c>
      <c r="R619" s="29"/>
      <c r="S619" s="31"/>
      <c r="T619" s="29"/>
    </row>
    <row r="620" spans="1:20" s="30" customFormat="1" x14ac:dyDescent="0.25">
      <c r="A620" s="28">
        <v>604</v>
      </c>
      <c r="B620" s="29"/>
      <c r="C620" s="29"/>
      <c r="G620" s="80" t="str">
        <f t="shared" si="44"/>
        <v>NEED FORM</v>
      </c>
      <c r="H620" s="264"/>
      <c r="P620" s="107">
        <f t="shared" ref="P620:P628" si="45">N620*O620+Q620</f>
        <v>0</v>
      </c>
      <c r="R620" s="29"/>
      <c r="S620" s="31"/>
      <c r="T620" s="29"/>
    </row>
    <row r="621" spans="1:20" s="30" customFormat="1" x14ac:dyDescent="0.25">
      <c r="A621" s="28">
        <v>605</v>
      </c>
      <c r="B621" s="29"/>
      <c r="C621" s="29"/>
      <c r="G621" s="80" t="str">
        <f t="shared" si="44"/>
        <v>NEED FORM</v>
      </c>
      <c r="H621" s="264"/>
      <c r="P621" s="107">
        <f t="shared" si="45"/>
        <v>0</v>
      </c>
      <c r="R621" s="29"/>
      <c r="S621" s="31"/>
      <c r="T621" s="29"/>
    </row>
    <row r="622" spans="1:20" s="30" customFormat="1" x14ac:dyDescent="0.25">
      <c r="A622" s="28">
        <v>606</v>
      </c>
      <c r="B622" s="29"/>
      <c r="C622" s="29"/>
      <c r="G622" s="80" t="str">
        <f t="shared" si="44"/>
        <v>NEED FORM</v>
      </c>
      <c r="H622" s="264"/>
      <c r="P622" s="107">
        <f t="shared" si="45"/>
        <v>0</v>
      </c>
      <c r="R622" s="29"/>
      <c r="S622" s="31"/>
      <c r="T622" s="29"/>
    </row>
    <row r="623" spans="1:20" s="30" customFormat="1" x14ac:dyDescent="0.25">
      <c r="A623" s="28">
        <v>607</v>
      </c>
      <c r="B623" s="29"/>
      <c r="C623" s="29"/>
      <c r="G623" s="80" t="str">
        <f t="shared" si="44"/>
        <v>NEED FORM</v>
      </c>
      <c r="H623" s="264"/>
      <c r="P623" s="107">
        <f t="shared" si="45"/>
        <v>0</v>
      </c>
      <c r="R623" s="29"/>
      <c r="S623" s="31"/>
      <c r="T623" s="29"/>
    </row>
    <row r="624" spans="1:20" s="30" customFormat="1" x14ac:dyDescent="0.25">
      <c r="A624" s="28">
        <v>608</v>
      </c>
      <c r="B624" s="29"/>
      <c r="C624" s="29"/>
      <c r="G624" s="80" t="str">
        <f t="shared" si="44"/>
        <v>NEED FORM</v>
      </c>
      <c r="H624" s="264"/>
      <c r="P624" s="107">
        <f t="shared" si="45"/>
        <v>0</v>
      </c>
      <c r="R624" s="29"/>
      <c r="S624" s="31"/>
      <c r="T624" s="29"/>
    </row>
    <row r="625" spans="1:20" s="30" customFormat="1" x14ac:dyDescent="0.25">
      <c r="A625" s="28">
        <v>609</v>
      </c>
      <c r="B625" s="29"/>
      <c r="C625" s="29"/>
      <c r="G625" s="80" t="str">
        <f t="shared" si="44"/>
        <v>NEED FORM</v>
      </c>
      <c r="H625" s="264"/>
      <c r="P625" s="107">
        <f t="shared" si="45"/>
        <v>0</v>
      </c>
      <c r="R625" s="29"/>
      <c r="S625" s="31"/>
      <c r="T625" s="29"/>
    </row>
    <row r="626" spans="1:20" s="30" customFormat="1" x14ac:dyDescent="0.25">
      <c r="A626" s="28">
        <v>610</v>
      </c>
      <c r="B626" s="29"/>
      <c r="C626" s="29"/>
      <c r="G626" s="80" t="str">
        <f t="shared" si="44"/>
        <v>NEED FORM</v>
      </c>
      <c r="H626" s="264"/>
      <c r="P626" s="107">
        <f t="shared" si="45"/>
        <v>0</v>
      </c>
      <c r="R626" s="29"/>
      <c r="S626" s="31"/>
      <c r="T626" s="29"/>
    </row>
    <row r="627" spans="1:20" s="30" customFormat="1" x14ac:dyDescent="0.25">
      <c r="A627" s="28">
        <v>611</v>
      </c>
      <c r="B627" s="29"/>
      <c r="C627" s="29"/>
      <c r="G627" s="80" t="str">
        <f t="shared" si="44"/>
        <v>NEED FORM</v>
      </c>
      <c r="H627" s="264"/>
      <c r="P627" s="107">
        <f t="shared" si="45"/>
        <v>0</v>
      </c>
      <c r="R627" s="29"/>
      <c r="S627" s="31"/>
      <c r="T627" s="29"/>
    </row>
    <row r="628" spans="1:20" s="30" customFormat="1" x14ac:dyDescent="0.25">
      <c r="A628" s="28">
        <v>612</v>
      </c>
      <c r="B628" s="29"/>
      <c r="C628" s="29"/>
      <c r="G628" s="80" t="str">
        <f t="shared" si="44"/>
        <v>NEED FORM</v>
      </c>
      <c r="H628" s="264"/>
      <c r="P628" s="107">
        <f t="shared" si="45"/>
        <v>0</v>
      </c>
      <c r="R628" s="29"/>
      <c r="S628" s="31"/>
      <c r="T628" s="29"/>
    </row>
    <row r="629" spans="1:20" s="75" customFormat="1" x14ac:dyDescent="0.25">
      <c r="B629" s="76"/>
      <c r="C629" s="76"/>
      <c r="G629" s="91"/>
      <c r="H629" s="268"/>
      <c r="P629" s="110"/>
      <c r="R629" s="76"/>
      <c r="S629" s="77"/>
      <c r="T629" s="76"/>
    </row>
    <row r="630" spans="1:20" s="75" customFormat="1" x14ac:dyDescent="0.25">
      <c r="B630" s="76"/>
      <c r="C630" s="76"/>
      <c r="G630" s="91"/>
      <c r="H630" s="268"/>
      <c r="P630" s="110"/>
      <c r="R630" s="76"/>
      <c r="S630" s="77"/>
      <c r="T630" s="76"/>
    </row>
  </sheetData>
  <autoFilter ref="A2:X628" xr:uid="{EA758BAB-5A6B-4EC7-A109-A2D2575CFA2C}"/>
  <phoneticPr fontId="17" type="noConversion"/>
  <conditionalFormatting sqref="G1:G1048576">
    <cfRule type="containsText" dxfId="1" priority="1" operator="containsText" text="NEED FORM">
      <formula>NOT(ISERROR(SEARCH("NEED FORM",G1)))</formula>
    </cfRule>
  </conditionalFormatting>
  <hyperlinks>
    <hyperlink ref="J3" r:id="rId1" xr:uid="{AFAC1B7C-0386-4090-96C1-178DAE89B19B}"/>
    <hyperlink ref="J4" r:id="rId2" xr:uid="{F00DE00F-338C-487A-994C-B7A33529E411}"/>
    <hyperlink ref="J5" r:id="rId3" xr:uid="{278B6CE3-19BB-4C38-B2DE-B9DF55FA8A5B}"/>
    <hyperlink ref="J6" r:id="rId4" xr:uid="{9C8F958A-E01D-4B96-8A1C-B8A4C1CD1100}"/>
    <hyperlink ref="J7" r:id="rId5" xr:uid="{DA1FD5B7-3AF9-4A9A-BFA5-1DE6277B5918}"/>
    <hyperlink ref="J8" r:id="rId6" xr:uid="{2DED875C-A57C-412B-AF0F-CB8BCC93F420}"/>
    <hyperlink ref="J9" r:id="rId7" xr:uid="{70B40822-6B6E-427F-8982-9E0877D51AF8}"/>
    <hyperlink ref="J10" r:id="rId8" xr:uid="{34036E5A-A1D4-4575-ABD4-3B7794D956FD}"/>
    <hyperlink ref="J11" r:id="rId9" xr:uid="{A317AAFD-22E2-4C4C-88C0-EC09E2AA49E6}"/>
    <hyperlink ref="J12" r:id="rId10" xr:uid="{D38030B5-8A1D-4477-9D42-4752865F806C}"/>
    <hyperlink ref="J13" r:id="rId11" xr:uid="{0BB49EE3-D728-4D49-B38C-39313AB350EC}"/>
    <hyperlink ref="J14" r:id="rId12" xr:uid="{4F57F837-0FD2-4002-AAAD-5CC37010BAC9}"/>
    <hyperlink ref="J15" r:id="rId13" xr:uid="{CE636B46-A84B-4360-82BA-AEC4BC8DA86F}"/>
    <hyperlink ref="J16" r:id="rId14" xr:uid="{014749FD-7703-45FE-A9F0-72AB9832FF45}"/>
    <hyperlink ref="J17" r:id="rId15" xr:uid="{5ACD87FB-D836-4D3C-8991-4EB4778A36D2}"/>
    <hyperlink ref="J18" r:id="rId16" xr:uid="{D75B2C65-BF17-4D0F-822B-3BC92C8BCEB7}"/>
    <hyperlink ref="J19" r:id="rId17" xr:uid="{F790F7E5-B7FA-42FA-8625-1E64896D8252}"/>
    <hyperlink ref="J20" r:id="rId18" xr:uid="{3764B45D-ECDF-4B44-9EC1-E055B4395156}"/>
    <hyperlink ref="J21" r:id="rId19" xr:uid="{CA15D5FE-27D6-48DA-BB5A-394FCC003976}"/>
    <hyperlink ref="J22" r:id="rId20" xr:uid="{E4EE6AA6-42D6-4182-965B-7AB9CAFAA481}"/>
    <hyperlink ref="J23" r:id="rId21" display="mailto:iacamacho@reynco.com" xr:uid="{55D5BE8C-E356-46A8-B5DB-2DC91A176C7C}"/>
    <hyperlink ref="J24" r:id="rId22" display="mailto:iacamacho@reynco.com" xr:uid="{0D76F9E6-A478-4B4A-8087-612577FCBE0B}"/>
    <hyperlink ref="J25" r:id="rId23" xr:uid="{B9ADD5B0-7523-4F61-AE06-A96B926F3CC0}"/>
    <hyperlink ref="J26" r:id="rId24" xr:uid="{D2D37263-5BE1-4838-8771-30800CD58823}"/>
    <hyperlink ref="J27" r:id="rId25" xr:uid="{3684AC2D-F6BC-4D4E-85A1-78F0A7D32102}"/>
    <hyperlink ref="J28" r:id="rId26" xr:uid="{1A27BA5E-07B7-4697-B344-0EE869B36542}"/>
    <hyperlink ref="J29" r:id="rId27" xr:uid="{4FE9BD74-6691-447A-9FDD-3880A32EA023}"/>
    <hyperlink ref="J31" r:id="rId28" xr:uid="{DAC6488A-5921-4F2E-9755-FEC456BAB7C9}"/>
    <hyperlink ref="J32" r:id="rId29" xr:uid="{967E307B-7A97-4513-9BA9-74294F7606E9}"/>
    <hyperlink ref="J36" r:id="rId30" display="mailto:tmuglia@psands.com" xr:uid="{147E3F76-A64E-4737-BC45-F8FD5701DA8B}"/>
    <hyperlink ref="J42" r:id="rId31" xr:uid="{F9999678-E5CC-4759-B6DC-68659ED307A4}"/>
    <hyperlink ref="J37" r:id="rId32" xr:uid="{1B61E974-4E8E-44AA-83C1-B95B668A3B4D}"/>
    <hyperlink ref="J45" r:id="rId33" display="mailto:imam@pcr.ac.id" xr:uid="{7DDC780E-A956-4827-9430-0FE10491689C}"/>
    <hyperlink ref="J44" r:id="rId34" xr:uid="{045D9F31-E82B-40AB-8229-9172D3A85118}"/>
    <hyperlink ref="J46" r:id="rId35" xr:uid="{5F37CAAD-E368-414B-A840-A3E5E12093F2}"/>
    <hyperlink ref="J47" r:id="rId36" xr:uid="{CCCB3A9D-D611-4CDF-8671-8F87B82D472B}"/>
    <hyperlink ref="J49" r:id="rId37" xr:uid="{C8A7B564-963C-450C-B1B4-0EB3ED9C9FB6}"/>
    <hyperlink ref="J50" r:id="rId38" xr:uid="{0DFEFD9E-3EB8-4982-9BDC-0D2446C90B15}"/>
    <hyperlink ref="J51" r:id="rId39" xr:uid="{58C8DCA5-CEDB-40C4-B2FA-26B9E608636B}"/>
    <hyperlink ref="J52" r:id="rId40" xr:uid="{EB7235F2-8C60-4DA0-86A6-B280BBCCA1BE}"/>
    <hyperlink ref="J53" r:id="rId41" xr:uid="{AAFB665B-E8B5-4DE0-8E65-2270D4FEEFD0}"/>
    <hyperlink ref="J54" r:id="rId42" xr:uid="{4736CE5A-115A-40EC-A27A-8A6A1F2B3ACE}"/>
    <hyperlink ref="J56" r:id="rId43" xr:uid="{467B7EA9-B863-4557-890E-B9EE11DEBA6C}"/>
    <hyperlink ref="J41" r:id="rId44" xr:uid="{540DB64F-573E-4FD3-A5F4-843CC85009BC}"/>
    <hyperlink ref="J39" r:id="rId45" xr:uid="{B3004EB3-8B13-40AF-A8C8-02621387BFF8}"/>
    <hyperlink ref="J69" r:id="rId46" display="mailto:monteelectric@optonline.net" xr:uid="{93330D69-2A8C-41C8-AC9F-2AA0DEFAF8AA}"/>
    <hyperlink ref="J70" r:id="rId47" display="mailto:monteelectric@optonline.net" xr:uid="{6C9D2735-ED35-429C-BA1C-9D912237403A}"/>
    <hyperlink ref="J77" r:id="rId48" xr:uid="{6F5E0008-59FF-4817-B755-7394B39E1C40}"/>
    <hyperlink ref="J66" r:id="rId49" xr:uid="{0338555A-F6F2-40A0-9EF2-C6F218C4DB72}"/>
    <hyperlink ref="J81" r:id="rId50" xr:uid="{2C33B591-A26F-46F6-AD62-EC6F76A6FA89}"/>
    <hyperlink ref="J83" r:id="rId51" xr:uid="{EF055539-A998-46AE-83E0-792E22ED4CB6}"/>
    <hyperlink ref="J85" r:id="rId52" xr:uid="{462E712B-3A20-45C2-8275-A6F53C78D7E0}"/>
    <hyperlink ref="J87" r:id="rId53" xr:uid="{37C271AC-FEC4-49D2-A240-8AE72CBBE015}"/>
    <hyperlink ref="J88" r:id="rId54" xr:uid="{3DED9FBF-2873-4E31-9891-7FCA5BDACA0C}"/>
    <hyperlink ref="J91" r:id="rId55" xr:uid="{E5568DA5-A770-46F9-947B-FEB4D709246A}"/>
    <hyperlink ref="J94" r:id="rId56" xr:uid="{47219D05-E460-4AB6-8101-768F5D3850D3}"/>
    <hyperlink ref="J100" r:id="rId57" display="mailto:service@817.com.tw" xr:uid="{1E9F68F0-86F0-43DB-AF58-6EE7A26E2EE2}"/>
    <hyperlink ref="J101" r:id="rId58" display="mailto:service@817.com.tw" xr:uid="{46AEE899-3406-40C3-A3C9-EA7E11BDC4D7}"/>
    <hyperlink ref="J102" r:id="rId59" display="mailto:service@817.com.tw" xr:uid="{46BC06DB-2D31-4DD9-88BE-9FF1E13C97C8}"/>
    <hyperlink ref="J104" r:id="rId60" xr:uid="{FE6F1482-F66B-4F5F-B355-04788B50088E}"/>
    <hyperlink ref="J105" r:id="rId61" xr:uid="{12BF374E-7B0C-4205-882A-9C407F7DCD3B}"/>
    <hyperlink ref="J106" r:id="rId62" xr:uid="{ED4ED6EB-7366-4A36-8F66-519FFE5C6E6D}"/>
    <hyperlink ref="J108" r:id="rId63" xr:uid="{21E69180-D19D-4CF3-A853-90C18F7099C5}"/>
    <hyperlink ref="J113" r:id="rId64" display="mailto:GOVERMAN@IRBY.COM" xr:uid="{8D30ADD5-44B5-4D04-BE59-5EB4EF8BB310}"/>
    <hyperlink ref="J114" r:id="rId65" xr:uid="{2D9FB337-CC2F-4E50-A13E-15EDB8272023}"/>
    <hyperlink ref="J115" r:id="rId66" xr:uid="{0F301FE1-8BE4-4B03-922E-74FC3B9F5E30}"/>
    <hyperlink ref="J116" r:id="rId67" xr:uid="{00B72C39-0A14-454B-B324-2F2C503A7F30}"/>
    <hyperlink ref="J117" r:id="rId68" xr:uid="{9D844EF7-F1D1-42D0-AACB-DC6A3EEBF527}"/>
    <hyperlink ref="J118" r:id="rId69" xr:uid="{BE7A26AA-22E8-4DC2-862F-9A1C5681E1D0}"/>
    <hyperlink ref="J119" r:id="rId70" xr:uid="{CA89BDD3-515F-48AA-A3EB-1BCBF6C762AE}"/>
    <hyperlink ref="J126" r:id="rId71" xr:uid="{DC2049A5-71C2-4DE5-A7AF-76A9C5DFBA95}"/>
    <hyperlink ref="J127" r:id="rId72" xr:uid="{4F848DE7-9614-4ACC-A7FC-979AFB0691C9}"/>
    <hyperlink ref="J128" r:id="rId73" xr:uid="{B821EFD4-ADAA-4AAD-AF22-8D4F5DF4636D}"/>
    <hyperlink ref="J130" r:id="rId74" xr:uid="{B11433CD-8D0B-414F-B495-9FE3A40C77AC}"/>
    <hyperlink ref="J132" r:id="rId75" display="mailto:sales@jalhardware.com" xr:uid="{E5650160-68F3-4683-BE4A-DF67134030A2}"/>
    <hyperlink ref="J133" r:id="rId76" xr:uid="{3EB69323-07BF-42EA-8BF7-0425DE247094}"/>
    <hyperlink ref="J135" r:id="rId77" xr:uid="{4A7E6DB7-5748-4C1D-BE32-3041BF06F2BB}"/>
    <hyperlink ref="J136" r:id="rId78" xr:uid="{22E7CA37-86A3-4EFC-BE03-7F9870F359A8}"/>
    <hyperlink ref="J138" r:id="rId79" xr:uid="{EB1143A3-0629-48BE-8759-732A44EF163C}"/>
    <hyperlink ref="J139" r:id="rId80" xr:uid="{A6BDD832-6B99-49F3-BFBD-21D433D1AE54}"/>
    <hyperlink ref="J134" r:id="rId81" xr:uid="{B6652FD8-8176-4644-A20E-2BCA5238D52E}"/>
    <hyperlink ref="J148" r:id="rId82" xr:uid="{0302FF1A-78DB-4A04-994C-BFC75696E65D}"/>
    <hyperlink ref="J151" r:id="rId83" xr:uid="{90418920-AF49-496D-9414-5151AD25ACE0}"/>
    <hyperlink ref="J152" r:id="rId84" xr:uid="{64177CD1-892F-48F0-946D-370ACC227DC5}"/>
    <hyperlink ref="J154" r:id="rId85" xr:uid="{37188946-EA6C-4F10-A9B6-1C6AED8EC7D9}"/>
    <hyperlink ref="J155" r:id="rId86" xr:uid="{0F61D060-2AF1-45A4-A220-FC23454DE782}"/>
    <hyperlink ref="J156" r:id="rId87" xr:uid="{2E9B03B2-F236-41C8-9C5F-F685A207143A}"/>
    <hyperlink ref="J159" r:id="rId88" xr:uid="{30BB8B0D-828C-4BDF-8957-5D9FE08E3A9E}"/>
    <hyperlink ref="J161" r:id="rId89" xr:uid="{67D91572-5C87-4669-B23C-4382F6D9BAC6}"/>
    <hyperlink ref="J162" r:id="rId90" xr:uid="{D9D08707-9118-4E8A-9E42-A5006AADC164}"/>
    <hyperlink ref="J163" r:id="rId91" display="mailto:service@817.com.tw" xr:uid="{078E3565-7F6E-4476-912C-C83809DFDC5C}"/>
    <hyperlink ref="J160" r:id="rId92" xr:uid="{FC3DDF7A-3C1D-48A4-B2E1-8DDF55416177}"/>
    <hyperlink ref="J165" r:id="rId93" xr:uid="{C864774A-EAA8-4137-88EC-9910DEFDCE84}"/>
    <hyperlink ref="J166" r:id="rId94" xr:uid="{41ED249D-0BAE-4822-8F06-9E81E0097EA0}"/>
    <hyperlink ref="J168" r:id="rId95" xr:uid="{1B56EDB4-F28D-403A-BCC9-A8F9EC44F2FB}"/>
    <hyperlink ref="J170" r:id="rId96" xr:uid="{1BCA61FA-4843-49B4-8613-5915D8F99A2A}"/>
    <hyperlink ref="J171" r:id="rId97" xr:uid="{3315F965-8B97-4CDF-A3C5-0AD3D6A81150}"/>
    <hyperlink ref="J172" r:id="rId98" xr:uid="{A890268F-4B4E-4F67-8B3D-55715B4E8911}"/>
    <hyperlink ref="J173" r:id="rId99" xr:uid="{5E7DC56F-D0F3-4CB4-9F2A-D91439F44D9D}"/>
    <hyperlink ref="J174" r:id="rId100" xr:uid="{09D61C08-C0C7-41B9-BE0C-953C4BDDA001}"/>
    <hyperlink ref="J175" r:id="rId101" display="mailto:sartinrf@airproducts.com" xr:uid="{753A73C9-D225-4639-B936-885A5CE193AD}"/>
    <hyperlink ref="J179" r:id="rId102" xr:uid="{76C13BEC-056A-4DBD-8F72-C1BA9219D711}"/>
    <hyperlink ref="J181" r:id="rId103" xr:uid="{21924E5D-EB76-4F68-BA3F-F8AC8CCB35CE}"/>
    <hyperlink ref="J185" r:id="rId104" xr:uid="{F6848333-BCAE-4DFF-9F8B-B5EA40A99F87}"/>
    <hyperlink ref="J190" r:id="rId105" xr:uid="{3EADA602-F4DE-4A9C-8CE6-ADEE254BE16D}"/>
    <hyperlink ref="J191" r:id="rId106" display="mailto:cmbeaty@reynco.com" xr:uid="{12BC6C1F-C2B3-4A4C-A917-42E1A5177490}"/>
    <hyperlink ref="J193" r:id="rId107" display="mailto:CAROLYN.HARRIS@WESCODIST.COM" xr:uid="{85738191-A73A-423C-9FD2-E4148EF3410E}"/>
    <hyperlink ref="J195" r:id="rId108" xr:uid="{82747D40-4199-4391-8145-334FB5789BE0}"/>
    <hyperlink ref="J200" r:id="rId109" xr:uid="{99D084C5-D713-4685-A4CC-BF578834BB17}"/>
    <hyperlink ref="J201" r:id="rId110" xr:uid="{CC3C103F-654B-480F-8F61-E3D687F67997}"/>
    <hyperlink ref="J202" r:id="rId111" xr:uid="{7A2B4DDB-BDB6-47D7-81A0-A6A676FE20C5}"/>
    <hyperlink ref="J205" r:id="rId112" display="mailto:sam@systemseastinc.com" xr:uid="{80C52A89-6F18-4712-BE96-429B30ED6777}"/>
    <hyperlink ref="J207" r:id="rId113" xr:uid="{753297F8-6DC5-4EDA-9157-6D3CD2376B41}"/>
    <hyperlink ref="J209" r:id="rId114" xr:uid="{A514407A-BE85-42D2-9D4F-31C566FFFD4A}"/>
    <hyperlink ref="J210" r:id="rId115" xr:uid="{7EDAA442-BF92-48CE-A056-307491BA9560}"/>
    <hyperlink ref="J211" r:id="rId116" xr:uid="{D9E57F71-17D0-4730-B06D-BDAD73C8ADC2}"/>
    <hyperlink ref="J213" r:id="rId117" display="mailto:cmbeaty@reynco.com" xr:uid="{B8AA003B-7826-4929-892E-1ED4D5E1B82C}"/>
    <hyperlink ref="J214" r:id="rId118" xr:uid="{2127D601-7CF3-4ED6-9204-947F8C30520F}"/>
    <hyperlink ref="J215" r:id="rId119" xr:uid="{DEF2BD33-489D-4CA3-A995-50C56A9AD1EF}"/>
    <hyperlink ref="J216" r:id="rId120" xr:uid="{DE75AE21-B24D-4793-89A7-D2AD5529F615}"/>
    <hyperlink ref="J217" r:id="rId121" xr:uid="{1FBBAABE-0C8B-458D-8E01-D12D931E086F}"/>
    <hyperlink ref="J218" r:id="rId122" xr:uid="{5A661B96-4DA6-4112-A9B2-BEE8326F4AFB}"/>
    <hyperlink ref="J219" r:id="rId123" xr:uid="{FF0EBE14-F50F-475B-A8C2-ED865B13D184}"/>
    <hyperlink ref="J220" r:id="rId124" xr:uid="{F2DC6A49-021A-4A6D-8976-4AA0B9084769}"/>
    <hyperlink ref="J221" r:id="rId125" xr:uid="{08C8330F-41DA-448B-8833-CC10A300E550}"/>
    <hyperlink ref="J225" r:id="rId126" xr:uid="{C8782209-44FC-4613-B5BD-74C8FF8132B5}"/>
    <hyperlink ref="J229" r:id="rId127" xr:uid="{657333B3-E0DC-4D8E-AB4E-0E2EAC8DAB85}"/>
    <hyperlink ref="J230" r:id="rId128" display="mailto:Luis.D.Peugnet@jci.com" xr:uid="{A2AFD731-A4A5-43B8-ACE5-2A99187370E3}"/>
    <hyperlink ref="J231" r:id="rId129" display="mailto:Luis.D.Peugnet@jci.com" xr:uid="{66C80B2E-8C79-4472-A99D-BA5B15A2B249}"/>
    <hyperlink ref="J247" r:id="rId130" display="mailto:gasochem@singnet.com.sg" xr:uid="{49E1F050-BFA1-4F68-B664-4237F530EA92}"/>
    <hyperlink ref="J248" r:id="rId131" display="mailto:richard.pasternak1@merck.com" xr:uid="{FA0670A0-0EAE-41D4-8778-DE30D4E03F22}"/>
    <hyperlink ref="J267" r:id="rId132" xr:uid="{9C0443C9-105F-4E74-A717-464E7A891A6F}"/>
    <hyperlink ref="J271" r:id="rId133" xr:uid="{C66449E4-BE9F-41B3-985E-794BC76F7ED0}"/>
    <hyperlink ref="J273" r:id="rId134" xr:uid="{2454C94C-3DA0-41ED-AB7A-42C0A103D57D}"/>
    <hyperlink ref="J274" r:id="rId135" display="mailto:jadame@allcurrent.com" xr:uid="{AE980857-92BD-4878-A5FB-8D4FB2C13CB3}"/>
    <hyperlink ref="J280" r:id="rId136" xr:uid="{89338FEF-E1F9-42BB-9B26-A8190C74DA2D}"/>
    <hyperlink ref="J285" r:id="rId137" xr:uid="{59475023-CC7A-44B4-92CC-ABFFC9C029E6}"/>
    <hyperlink ref="J286" r:id="rId138" display="mailto:kevin.vicario@mctn.co.id" xr:uid="{A124C883-7732-4D6B-A383-BC5745AB270C}"/>
    <hyperlink ref="J289" r:id="rId139" display="mailto:SKanuch@wescodist.com" xr:uid="{5C7C8EFA-25A6-481E-906F-BFCE26F520BE}"/>
    <hyperlink ref="J290" r:id="rId140" display="mailto:kevin.vicario@mctn.co.id" xr:uid="{9F7BE7E2-86D7-4F05-9F8B-CD9E1FB877E7}"/>
    <hyperlink ref="J291" r:id="rId141" display="mailto:jmacy@crum.com" xr:uid="{294E9B2D-176F-4BBE-9987-89D532FF3EED}"/>
    <hyperlink ref="J292" r:id="rId142" display="mailto:Amro.gomaa@TSAR-LLC.com" xr:uid="{D575AD72-AB5D-4C7A-9C1E-B902184B6F13}"/>
    <hyperlink ref="J293" r:id="rId143" display="mailto:faiz.mohamed@totalenergies.com" xr:uid="{D128EEA6-EA01-4BE7-BE11-6EB77211D03B}"/>
    <hyperlink ref="J296" r:id="rId144" xr:uid="{EFEA66BF-230F-451B-8B66-A8C243D33553}"/>
    <hyperlink ref="J299" r:id="rId145" display="mailto:joshua.e.kao@p66.com" xr:uid="{6636EC19-245E-43DE-925A-38E439E368AC}"/>
    <hyperlink ref="J305" r:id="rId146" display="mailto:Andrew.Gumpp@wescodist.com" xr:uid="{1A7C1AE5-7678-4D98-B74C-2620B5BC38D2}"/>
    <hyperlink ref="J307" r:id="rId147" display="mailto:Andrew.Gumpp@wescodist.com" xr:uid="{DC199102-A3A2-4364-B461-B94B818076A5}"/>
    <hyperlink ref="J306" r:id="rId148" display="mailto:Andrew.Gumpp@wescodist.com" xr:uid="{941AD209-F18B-41D9-BBED-6AC7B2CD95B7}"/>
    <hyperlink ref="J304" r:id="rId149" display="mailto:Andrew.Gumpp@wescodist.com" xr:uid="{50B421D1-7A0B-4A1E-B700-CE1DACE0EAB5}"/>
    <hyperlink ref="J303" r:id="rId150" display="mailto:Andrew.Gumpp@wescodist.com" xr:uid="{C04FB8FB-F4FD-44A0-BFC8-BE9CF1BAAB55}"/>
    <hyperlink ref="J302" r:id="rId151" display="mailto:Andrew.Gumpp@wescodist.com" xr:uid="{16DFF3EE-3F96-4D88-BC6A-01272B3423EC}"/>
    <hyperlink ref="J312" r:id="rId152" xr:uid="{FF71A03C-2EFF-4AA4-9893-B1A55BDDCB13}"/>
    <hyperlink ref="J313" r:id="rId153" xr:uid="{961E29A7-C65F-4033-B221-E38A3CA4CBB4}"/>
    <hyperlink ref="J314" r:id="rId154" xr:uid="{0AD69F15-C1F0-4845-961C-4C6D5878940E}"/>
    <hyperlink ref="J317" r:id="rId155" display="mailto:Andrew.Gumpp@wescodist.com" xr:uid="{1E08C516-6A3B-4E23-B9B6-9BB33B5FEBC9}"/>
    <hyperlink ref="J320" r:id="rId156" display="mailto:lelders@crawfordelectricsupply.com" xr:uid="{EAAA3FEF-5276-4D8A-9B77-69D9E4376880}"/>
    <hyperlink ref="J321" r:id="rId157" display="mailto:lelders@crawfordelectricsupply.com" xr:uid="{DB6090A8-2EBC-4DD8-AE30-DF198A6117B8}"/>
    <hyperlink ref="J328" r:id="rId158" xr:uid="{68DD4208-4EE4-4E28-BB3C-72FFAC67EB14}"/>
    <hyperlink ref="J329" r:id="rId159" xr:uid="{C8688C9D-2EDA-430D-87C8-3096F446419C}"/>
    <hyperlink ref="J330" r:id="rId160" display="mailto:Brinton.Ratcliff@gexpro.com" xr:uid="{4E818D9E-06B8-41BE-817C-CCB722BE6113}"/>
    <hyperlink ref="J331" r:id="rId161" display="mailto:Brinton.Ratcliff@gexpro.com" xr:uid="{3897A2F7-CE8F-4DCE-A720-55B6DB223F8A}"/>
    <hyperlink ref="J332" r:id="rId162" display="mailto:adminmap@ptmanggala.com" xr:uid="{A438E5F7-B0F4-4477-B59D-656EB97F209B}"/>
    <hyperlink ref="J333" r:id="rId163" display="mailto:andrea@atiflow.com" xr:uid="{D06A1D1B-BC37-4EC5-9F65-2D842E1598FB}"/>
    <hyperlink ref="J334" r:id="rId164" display="mailto:andrea@atiflow.com" xr:uid="{E1497C1E-8A57-4567-AF3D-129CE0B1F16D}"/>
    <hyperlink ref="J344" r:id="rId165" display="mailto:babergman@marathonpetroleum.com" xr:uid="{9F4D48F0-EAD2-47B4-A6C5-8CE98CB75FDB}"/>
    <hyperlink ref="J350" r:id="rId166" display="mailto:kevin.vicario@mctn.co.id" xr:uid="{38B72DE8-BE47-47B9-9848-469CC764F257}"/>
    <hyperlink ref="J351" r:id="rId167" display="mailto:kevin.vicario@mctn.co.id" xr:uid="{CB5E6C63-C633-4949-B5AE-4F4E66822D97}"/>
    <hyperlink ref="J357" r:id="rId168" xr:uid="{9C6BF328-C4E3-4E4C-818D-6D51EF1A9650}"/>
    <hyperlink ref="J358" r:id="rId169" xr:uid="{3CD4ACD6-C5F5-460D-82D9-D444399FA95E}"/>
    <hyperlink ref="J361" r:id="rId170" xr:uid="{14612F82-D669-47FB-B2F0-3F8E8C5D99A1}"/>
    <hyperlink ref="J362" r:id="rId171" xr:uid="{198E4F49-3B06-46DC-BAF6-7679AB54D77B}"/>
    <hyperlink ref="J365" r:id="rId172" display="mailto:chad.hill0707@gmail.com" xr:uid="{C9C25C01-8BA7-48FF-AFE9-A02C933DE53C}"/>
    <hyperlink ref="J366" r:id="rId173" display="mailto:yishengindustry@163.com" xr:uid="{3AB224E9-B6B8-4AC9-BDC0-D57525BFE14F}"/>
    <hyperlink ref="J367" r:id="rId174" display="mailto:andrea@atiflow.com" xr:uid="{994EDF71-AC98-4664-8B42-B6E760B0B554}"/>
    <hyperlink ref="J368" r:id="rId175" xr:uid="{4289AD55-EAA6-40C1-B3A2-EF05DF29E6E0}"/>
    <hyperlink ref="J363" r:id="rId176" xr:uid="{301F12FD-A566-4893-9568-851906AFD258}"/>
    <hyperlink ref="J371" r:id="rId177" xr:uid="{E16CC8B7-48F9-479E-B0EA-ACA214384A78}"/>
    <hyperlink ref="J372" r:id="rId178" xr:uid="{77BAA8A0-34CB-42EA-87D1-8F9A21869255}"/>
    <hyperlink ref="J373" r:id="rId179" display="mailto:Andrew.Gumpp@wescodist.com" xr:uid="{A8697F8F-6D0D-446B-850E-37A5937C9886}"/>
    <hyperlink ref="J374" r:id="rId180" display="mailto:Andrew.Gumpp@wescodist.com" xr:uid="{84E8E7B9-F474-4997-9A64-1DF1465633F4}"/>
    <hyperlink ref="J375" r:id="rId181" display="mailto:Andrew.Gumpp@wescodist.com" xr:uid="{D9F14182-19AD-495B-8F16-B6E1A17476A7}"/>
    <hyperlink ref="J376" r:id="rId182" display="mailto:Andrew.Gumpp@wescodist.com" xr:uid="{06B8847F-1F00-4542-B6C7-35D320B8ED6E}"/>
    <hyperlink ref="J377" r:id="rId183" display="mailto:Andrew.Gumpp@wescodist.com" xr:uid="{0457C903-88F6-4E32-BDC9-E94C433FA015}"/>
    <hyperlink ref="J379" r:id="rId184" xr:uid="{E518914F-C501-4B3B-AE93-0649395B8527}"/>
    <hyperlink ref="J380" r:id="rId185" xr:uid="{96449B1B-4C9D-4406-B60E-DA0DA86F3F0D}"/>
    <hyperlink ref="J381" r:id="rId186" xr:uid="{2081BBE0-AC79-471D-97C1-855FC593316E}"/>
    <hyperlink ref="J384" r:id="rId187" xr:uid="{74C601B9-B447-46D7-A4F7-D6EAE958FA5D}"/>
    <hyperlink ref="J383" r:id="rId188" display="mailto:andrea@atiflow.com" xr:uid="{A5DB97ED-2B28-4F0D-879F-E72B75236889}"/>
    <hyperlink ref="J391" r:id="rId189" xr:uid="{5E0B1393-BAD9-4A5F-82E7-A6A59F5B6C7A}"/>
    <hyperlink ref="J392" r:id="rId190" display="mailto:andrea@atiflow.com" xr:uid="{CDDDE69A-BD21-4FB0-BD50-6BE209A561E5}"/>
    <hyperlink ref="J393" r:id="rId191" xr:uid="{E7197E8C-E60A-4743-9589-20D97EE4114F}"/>
    <hyperlink ref="J394" r:id="rId192" xr:uid="{A0FBBC3C-5C39-4746-AAB1-17497D454A67}"/>
    <hyperlink ref="J395" r:id="rId193" xr:uid="{E358178E-191D-4464-8FF5-55304945E34E}"/>
    <hyperlink ref="J396" r:id="rId194" display="mailto:riley.blair@fortresseng.com" xr:uid="{7523BF96-4F2A-4208-BF20-3C9E5EFAFA6F}"/>
    <hyperlink ref="J399" r:id="rId195" xr:uid="{310F5592-7E14-43DF-B964-91187AB2B771}"/>
    <hyperlink ref="J400" r:id="rId196" xr:uid="{7EDE2D1D-21D4-467E-8D3C-11C9CB1C6DFA}"/>
    <hyperlink ref="J403" r:id="rId197" xr:uid="{CD6B22D1-89FD-4501-A042-3B17792EDB9F}"/>
    <hyperlink ref="J404" r:id="rId198" xr:uid="{B0D33B4F-D417-4A99-912F-4C38A76F6501}"/>
    <hyperlink ref="J405" r:id="rId199" xr:uid="{7E819860-7391-4FB4-A1B8-212A80A97521}"/>
    <hyperlink ref="J406" r:id="rId200" xr:uid="{2F06FB19-CDA1-44D7-887F-E512AA6EA7DC}"/>
    <hyperlink ref="J407" r:id="rId201" xr:uid="{2C25EA56-626F-4C72-8409-7F67B5E0424D}"/>
    <hyperlink ref="J408" r:id="rId202" xr:uid="{352BDAF1-6E87-48E7-A6BC-DBD87FDBE111}"/>
    <hyperlink ref="J409" r:id="rId203" xr:uid="{5A8B96B6-DE18-4518-B879-6184B8074931}"/>
    <hyperlink ref="J410" r:id="rId204" xr:uid="{DC28D3AF-EE68-4AFA-9E66-3710D2A51178}"/>
    <hyperlink ref="J411" r:id="rId205" xr:uid="{302869E2-ED94-44F8-908D-ADB94BDA1661}"/>
    <hyperlink ref="J412" r:id="rId206" display="mailto:pholmes@jsupply.com" xr:uid="{ADB0ED80-94D1-4B00-9715-015BCF4D04D4}"/>
    <hyperlink ref="J414" r:id="rId207" display="mailto:dsharp@wes-hou.com" xr:uid="{0CB6C8E8-C489-4D09-A086-7DB2DDA8CA10}"/>
    <hyperlink ref="J415" r:id="rId208" xr:uid="{789AA78C-6E01-400C-ABA1-F0797B5063FA}"/>
    <hyperlink ref="J416" r:id="rId209" xr:uid="{42F05545-5142-4332-94DB-BF362647AE79}"/>
    <hyperlink ref="J417" r:id="rId210" display="mailto:Reba.Martin@stateelectric.com" xr:uid="{838C5028-6C45-47B5-BF91-3CC4913D8112}"/>
    <hyperlink ref="J418" r:id="rId211" display="mailto:mikepottenger@yahoo.com" xr:uid="{2C782F77-22CE-4434-A032-19154DC13F3E}"/>
    <hyperlink ref="J419" r:id="rId212" display="mailto:mikepottenger@yahoo.com" xr:uid="{EFE929C6-6506-4C67-A84C-7569B3BE6931}"/>
    <hyperlink ref="J420" r:id="rId213" display="mailto:Reba.Martin@stateelectric.com" xr:uid="{5B446DBF-835E-4887-8895-888E2DBC1DD6}"/>
    <hyperlink ref="J421" r:id="rId214" xr:uid="{BCE4951A-CB28-41E1-805C-5AEFD3B31AF6}"/>
    <hyperlink ref="J424" r:id="rId215" xr:uid="{B3114E21-7EB9-4B9D-A9FD-9DE58B34D8C7}"/>
    <hyperlink ref="J425" r:id="rId216" xr:uid="{8A38BA79-DD72-4BEC-BCDA-196D8533F01C}"/>
    <hyperlink ref="J426" r:id="rId217" xr:uid="{F6D7491F-1ED6-4464-AC38-39554160CC01}"/>
    <hyperlink ref="J427" r:id="rId218" display="mailto:oshaugsr@airproducts.com" xr:uid="{A41D8F28-EEC5-48A9-88AE-23C15223E747}"/>
    <hyperlink ref="J430" r:id="rId219" xr:uid="{128F9AAC-BE86-4E7B-9EAB-D4BE1AFBFB1B}"/>
    <hyperlink ref="J431" r:id="rId220" xr:uid="{D5C57779-71A8-4D24-9B51-21748BB6F792}"/>
    <hyperlink ref="J432" r:id="rId221" xr:uid="{3045B09A-F8FB-44F0-9916-5182BA18A98F}"/>
    <hyperlink ref="J433" r:id="rId222" xr:uid="{39168D73-D27C-46A1-8DEC-E6B7F14BDF7B}"/>
    <hyperlink ref="J435" r:id="rId223" display="mailto:connorf@caincarlsbad.com" xr:uid="{C260771A-429D-4375-9A18-7F2AD4C7E1E4}"/>
    <hyperlink ref="J436" r:id="rId224" xr:uid="{AE519D3A-C3FE-4075-863E-A94A96D87921}"/>
    <hyperlink ref="J437" r:id="rId225" xr:uid="{809F1AA4-8105-4F49-BF99-DA0952F127F1}"/>
    <hyperlink ref="J439" r:id="rId226" xr:uid="{5C447AD0-3669-467C-9142-BA0F05F39094}"/>
    <hyperlink ref="J447" r:id="rId227" display="mailto:Andrew.Gumpp@wescodist.com" xr:uid="{7BEBAFFD-7C9C-4E39-ADE1-BDF0E1E86C48}"/>
    <hyperlink ref="J448" r:id="rId228" display="mailto:Andrew.Gumpp@wescodist.com" xr:uid="{84D8C2CF-9D6A-484A-B659-B7FD0A63A4B6}"/>
    <hyperlink ref="J449" r:id="rId229" display="mailto:Andrew.Gumpp@wescodist.com" xr:uid="{3A7449A6-907B-453C-BCDE-1711B1072166}"/>
    <hyperlink ref="J451" r:id="rId230" xr:uid="{560B755E-2FDB-4ECF-ADE4-D87AC6AD598E}"/>
    <hyperlink ref="J452" r:id="rId231" display="mailto:chase.fuller@summit.com" xr:uid="{0D8B2C6D-5A07-46A0-87A4-0019E67AB8AB}"/>
    <hyperlink ref="J453" r:id="rId232" xr:uid="{E1DB77FB-FE5A-4EC0-BBE8-67D5B712813F}"/>
    <hyperlink ref="J457" r:id="rId233" display="mailto:reckston@goldenpalm.com.kw" xr:uid="{2A1962C5-36EF-441E-9D83-56D1ABCAC693}"/>
    <hyperlink ref="J458" r:id="rId234" display="mailto:reckston@goldenpalm.com.kw" xr:uid="{F0F5F211-9B1A-44CB-B711-6621C9DF4E67}"/>
    <hyperlink ref="J459" r:id="rId235" display="mailto:iperez@camintegrated.com" xr:uid="{152D0D4E-2846-4DB0-A7FB-ADAF5DFE4AE0}"/>
    <hyperlink ref="J460" r:id="rId236" display="mailto:SBUFFIE@Ra.rockwell.com" xr:uid="{149FDAF2-CC91-438F-8AF0-89CED21631A8}"/>
    <hyperlink ref="J468" r:id="rId237" display="mailto:babergman@marathonpetroleum.com" xr:uid="{D5F37B11-E723-494D-A278-2DE07CF3A334}"/>
    <hyperlink ref="J469" r:id="rId238" display="mailto:kamil.bdiwi@ipexna.com" xr:uid="{E7825DEE-696D-42E0-BFF3-73116E38384E}"/>
    <hyperlink ref="J471" r:id="rId239" display="mailto:babergman@marathonpetroleum.com" xr:uid="{AB842123-8E3F-4130-B35C-0C76906C4DBC}"/>
    <hyperlink ref="J472" r:id="rId240" display="mailto:babergman@marathonpetroleum.com" xr:uid="{B99ECD54-EF7A-434B-A8A6-9BCBCA7FDD53}"/>
    <hyperlink ref="J473" r:id="rId241" display="mailto:babergman@marathonpetroleum.com" xr:uid="{983D2270-D3A7-4A06-BF40-4FE45E95FE8B}"/>
    <hyperlink ref="J478" r:id="rId242" display="mailto:jpietruszewski@vanmeterinc.com" xr:uid="{A48AA21E-5589-4F89-8134-5E04238FA26E}"/>
    <hyperlink ref="J479" r:id="rId243" display="mailto:SBUFFIE@Ra.rockwell.com" xr:uid="{5F4F1294-A91B-48CB-B99B-B664434D5B96}"/>
    <hyperlink ref="J482" r:id="rId244" display="mailto:sebastian.surugiu@hfsinclair.com" xr:uid="{42BAC7FB-1685-425E-A570-54D3C4B2802A}"/>
    <hyperlink ref="J483" r:id="rId245" display="mailto:sebastian.surugiu@hfsinclair.com" xr:uid="{4A64369E-F038-4B2F-9CFF-3CC7F52DFA00}"/>
    <hyperlink ref="J484" r:id="rId246" display="mailto:sebastian.surugiu@hfsinclair.com" xr:uid="{6E9BEE0A-4F3A-44D4-B4C6-30E705C9A5CF}"/>
    <hyperlink ref="J488" r:id="rId247" display="mailto:andrea@atiflow.com" xr:uid="{5246C964-EAAF-4AF0-B977-8F1AF2EFA2BD}"/>
    <hyperlink ref="J489" r:id="rId248" display="mailto:andrea@atiflow.com" xr:uid="{AF835DE8-8D28-4577-9ABC-1D78658EB735}"/>
    <hyperlink ref="J490" r:id="rId249" display="mailto:andrea@atiflow.com" xr:uid="{04C12E89-F44E-44DC-A82D-4E41E61D1714}"/>
    <hyperlink ref="J491" r:id="rId250" display="mailto:andrea@atiflow.com" xr:uid="{7878D325-1C98-4D71-B635-9F7F1653D803}"/>
    <hyperlink ref="J492" r:id="rId251" display="mailto:andrea@atiflow.com" xr:uid="{14B493F0-ED37-44BE-9240-A5282532B284}"/>
    <hyperlink ref="J493" r:id="rId252" xr:uid="{A16CB83C-512E-4898-BC6E-A996CA743EFD}"/>
    <hyperlink ref="J494" r:id="rId253" xr:uid="{D025EDB5-A234-4E87-B082-DF292F2D68F5}"/>
    <hyperlink ref="J495" r:id="rId254" xr:uid="{05D46797-558E-47B4-AB74-75623B0483BD}"/>
    <hyperlink ref="J496" r:id="rId255" xr:uid="{0727B1B8-AF11-4C5B-8FC1-B587B7F9EA0C}"/>
    <hyperlink ref="J497" r:id="rId256" xr:uid="{68D6520A-8031-4FDE-8A0E-43A103A7A290}"/>
    <hyperlink ref="J498" r:id="rId257" xr:uid="{50FF5BE9-CEC4-42FD-A702-3394FAFE95D0}"/>
    <hyperlink ref="J499" r:id="rId258" xr:uid="{5C89B9AE-AD61-41D5-B02A-C2F5E8186D6A}"/>
    <hyperlink ref="J500" r:id="rId259" display="mailto:andrea@atiflow.com" xr:uid="{B80A5904-8E3C-4282-893F-468B070EE654}"/>
    <hyperlink ref="J501" r:id="rId260" display="mailto:andrea@atiflow.com" xr:uid="{46731C8A-008A-4A37-8213-59F439BF2AFA}"/>
    <hyperlink ref="J502" r:id="rId261" display="mailto:andrea@atiflow.com" xr:uid="{6FB2B791-8DF7-407E-8CCA-7BF662059593}"/>
    <hyperlink ref="J503" r:id="rId262" display="mailto:andrea@atiflow.com" xr:uid="{78A49B0F-07D9-4DFD-8269-4C61835EB445}"/>
    <hyperlink ref="J504" r:id="rId263" display="mailto:andrea@atiflow.com" xr:uid="{F1B9FD1D-BB04-48FF-8710-DAC9DCF1D611}"/>
    <hyperlink ref="J506" r:id="rId264" xr:uid="{C3B25FFB-5F19-4DC8-A2C4-7767C7A02B93}"/>
    <hyperlink ref="J511" r:id="rId265" xr:uid="{647D3F96-84E9-4AC9-89DE-52AE11237E76}"/>
    <hyperlink ref="J512" r:id="rId266" xr:uid="{A5C1B99B-2110-43BF-9B70-FAA482F13AC2}"/>
    <hyperlink ref="J513" r:id="rId267" xr:uid="{63F02EA1-02F7-4F43-8CA4-C88CEB297120}"/>
    <hyperlink ref="J514" r:id="rId268" xr:uid="{70A3D2C3-4CB7-44A2-BD13-9D5DBBA76302}"/>
    <hyperlink ref="J515" r:id="rId269" display="mailto:andrea@atiflow.com" xr:uid="{3C7861F1-1044-4436-AF12-969D77CFEF57}"/>
    <hyperlink ref="J516" r:id="rId270" display="mailto:andrea@atiflow.com" xr:uid="{0F9D94F2-0D5B-4FD6-807A-00C82295B603}"/>
    <hyperlink ref="J517" r:id="rId271" display="mailto:andrea@atiflow.com" xr:uid="{163F10BB-F309-4CFB-A56F-7EDBD08DF8B0}"/>
    <hyperlink ref="J518" r:id="rId272" display="mailto:andrea@atiflow.com" xr:uid="{40D358EB-C97E-4418-B206-6409978F45C6}"/>
    <hyperlink ref="J519" r:id="rId273" display="mailto:andrea@atiflow.com" xr:uid="{BC15CF77-CC2D-492D-8E32-CD919B3155E5}"/>
    <hyperlink ref="J520" r:id="rId274" display="mailto:andrea@atiflow.com" xr:uid="{577761C9-325E-450B-8F77-0600ABC83E20}"/>
    <hyperlink ref="J524" r:id="rId275" xr:uid="{8EB34D60-195D-4C42-9DC6-C5F673BE2E32}"/>
    <hyperlink ref="J525" r:id="rId276" xr:uid="{6BDB0C10-0B77-4E83-B358-9C949E72F183}"/>
    <hyperlink ref="J527" r:id="rId277" xr:uid="{48310D8E-64F6-4178-846E-22FDEEA473F5}"/>
    <hyperlink ref="J532" r:id="rId278" display="mailto:andrea@atiflow.com" xr:uid="{87930A67-B1F6-4C64-B51F-1E11345D673F}"/>
    <hyperlink ref="J533" r:id="rId279" display="mailto:andrea@atiflow.com" xr:uid="{55EE6BB4-20EF-48B3-8E15-EE2905278EFC}"/>
    <hyperlink ref="J534" r:id="rId280" display="mailto:andrea@atiflow.com" xr:uid="{0E5D9A58-5DD5-400B-8D0B-1385E49DFEBA}"/>
    <hyperlink ref="J535" r:id="rId281" display="mailto:andrea@atiflow.com" xr:uid="{0AAFB28C-9121-4C99-B355-DC701F03AB1F}"/>
    <hyperlink ref="J542" r:id="rId282" display="mailto:reckston@goldenpalm.com.kw" xr:uid="{1514CEFA-E78A-46C9-98BE-142A15D8CB60}"/>
    <hyperlink ref="J543" r:id="rId283" display="mailto:reckston@goldenpalm.com.kw" xr:uid="{C969DAEA-35B8-4422-B4C9-15C3168F3434}"/>
    <hyperlink ref="J546" r:id="rId284" display="mailto:bsheets@crawfordelectricsupply.com" xr:uid="{DC4BDE34-0163-4E81-8480-2F9A105C2C9D}"/>
    <hyperlink ref="J547" r:id="rId285" display="mailto:bsheets@crawfordelectricsupply.com" xr:uid="{79614E8A-57DB-42BA-BECF-0153157A3CA0}"/>
    <hyperlink ref="J548" r:id="rId286" display="mailto:bsheets@crawfordelectricsupply.com" xr:uid="{2FFFB41E-7994-44E3-9945-D37DF45EC62E}"/>
  </hyperlinks>
  <pageMargins left="0.7" right="0.7" top="0.75" bottom="0.75" header="0.3" footer="0.3"/>
  <pageSetup orientation="portrait" verticalDpi="1200" r:id="rId287"/>
  <legacyDrawing r:id="rId28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0E49-E38E-40B0-96E4-AD6E1B48B592}">
  <sheetPr>
    <tabColor rgb="FF00B0F0"/>
  </sheetPr>
  <dimension ref="A1:C2189"/>
  <sheetViews>
    <sheetView workbookViewId="0">
      <selection activeCell="B6" sqref="B6"/>
    </sheetView>
  </sheetViews>
  <sheetFormatPr defaultColWidth="9.140625" defaultRowHeight="15" x14ac:dyDescent="0.25"/>
  <cols>
    <col min="1" max="1" width="56.85546875" style="71" bestFit="1" customWidth="1"/>
    <col min="2" max="2" width="34" style="71" customWidth="1"/>
    <col min="3" max="3" width="31" style="93" customWidth="1"/>
    <col min="4" max="16384" width="9.140625" style="71"/>
  </cols>
  <sheetData>
    <row r="1" spans="1:3" s="70" customFormat="1" ht="21" x14ac:dyDescent="0.35">
      <c r="A1" s="74" t="s">
        <v>1491</v>
      </c>
      <c r="B1" s="74" t="s">
        <v>1492</v>
      </c>
      <c r="C1" s="94" t="s">
        <v>1493</v>
      </c>
    </row>
    <row r="2" spans="1:3" x14ac:dyDescent="0.25">
      <c r="A2" s="71" t="s">
        <v>310</v>
      </c>
      <c r="B2" s="72">
        <v>45819</v>
      </c>
    </row>
    <row r="3" spans="1:3" x14ac:dyDescent="0.25">
      <c r="A3" s="71" t="s">
        <v>241</v>
      </c>
      <c r="B3" s="71" t="s">
        <v>1454</v>
      </c>
    </row>
    <row r="4" spans="1:3" x14ac:dyDescent="0.25">
      <c r="A4" s="71" t="s">
        <v>311</v>
      </c>
      <c r="B4" s="71" t="s">
        <v>1494</v>
      </c>
    </row>
    <row r="5" spans="1:3" x14ac:dyDescent="0.25">
      <c r="A5" s="71" t="s">
        <v>86</v>
      </c>
      <c r="B5" s="72">
        <v>45049</v>
      </c>
    </row>
    <row r="6" spans="1:3" x14ac:dyDescent="0.25">
      <c r="A6" s="71" t="s">
        <v>76</v>
      </c>
      <c r="B6" s="72">
        <v>45278</v>
      </c>
    </row>
    <row r="7" spans="1:3" x14ac:dyDescent="0.25">
      <c r="A7" s="71" t="s">
        <v>193</v>
      </c>
      <c r="B7" s="71" t="s">
        <v>1454</v>
      </c>
    </row>
    <row r="8" spans="1:3" x14ac:dyDescent="0.25">
      <c r="A8" s="71" t="s">
        <v>957</v>
      </c>
      <c r="B8" s="71" t="s">
        <v>1454</v>
      </c>
    </row>
    <row r="9" spans="1:3" x14ac:dyDescent="0.25">
      <c r="A9" s="71" t="s">
        <v>260</v>
      </c>
      <c r="B9" s="71" t="s">
        <v>1454</v>
      </c>
    </row>
    <row r="10" spans="1:3" x14ac:dyDescent="0.25">
      <c r="A10" s="71" t="s">
        <v>272</v>
      </c>
      <c r="B10" s="72">
        <v>45299</v>
      </c>
    </row>
    <row r="11" spans="1:3" x14ac:dyDescent="0.25">
      <c r="A11" s="71" t="s">
        <v>400</v>
      </c>
      <c r="B11" s="72">
        <v>45034</v>
      </c>
    </row>
    <row r="12" spans="1:3" x14ac:dyDescent="0.25">
      <c r="A12" s="71" t="s">
        <v>93</v>
      </c>
      <c r="B12" s="71" t="s">
        <v>1454</v>
      </c>
    </row>
    <row r="13" spans="1:3" x14ac:dyDescent="0.25">
      <c r="A13" s="71" t="s">
        <v>1076</v>
      </c>
      <c r="B13" s="72">
        <v>45376</v>
      </c>
    </row>
    <row r="14" spans="1:3" x14ac:dyDescent="0.25">
      <c r="A14" s="71" t="s">
        <v>130</v>
      </c>
      <c r="B14" s="72">
        <v>45056</v>
      </c>
    </row>
    <row r="15" spans="1:3" x14ac:dyDescent="0.25">
      <c r="A15" s="71" t="s">
        <v>221</v>
      </c>
      <c r="B15" s="71" t="s">
        <v>1454</v>
      </c>
    </row>
    <row r="16" spans="1:3" x14ac:dyDescent="0.25">
      <c r="A16" s="71" t="s">
        <v>1251</v>
      </c>
      <c r="B16" s="72">
        <v>45411</v>
      </c>
    </row>
    <row r="17" spans="1:2" x14ac:dyDescent="0.25">
      <c r="A17" s="71" t="s">
        <v>245</v>
      </c>
      <c r="B17" s="72">
        <v>45078</v>
      </c>
    </row>
    <row r="18" spans="1:2" x14ac:dyDescent="0.25">
      <c r="A18" s="71" t="s">
        <v>430</v>
      </c>
      <c r="B18" s="72">
        <v>45372</v>
      </c>
    </row>
    <row r="19" spans="1:2" x14ac:dyDescent="0.25">
      <c r="A19" s="71" t="s">
        <v>372</v>
      </c>
      <c r="B19" s="72">
        <v>45036</v>
      </c>
    </row>
    <row r="20" spans="1:2" x14ac:dyDescent="0.25">
      <c r="A20" s="71" t="s">
        <v>288</v>
      </c>
      <c r="B20" s="71" t="s">
        <v>1495</v>
      </c>
    </row>
    <row r="21" spans="1:2" x14ac:dyDescent="0.25">
      <c r="A21" s="71" t="s">
        <v>182</v>
      </c>
      <c r="B21" s="72">
        <v>45104</v>
      </c>
    </row>
    <row r="22" spans="1:2" x14ac:dyDescent="0.25">
      <c r="A22" s="71" t="s">
        <v>256</v>
      </c>
      <c r="B22" s="71" t="s">
        <v>1454</v>
      </c>
    </row>
    <row r="23" spans="1:2" x14ac:dyDescent="0.25">
      <c r="A23" s="71" t="s">
        <v>136</v>
      </c>
      <c r="B23" s="72">
        <v>45291</v>
      </c>
    </row>
    <row r="24" spans="1:2" x14ac:dyDescent="0.25">
      <c r="A24" s="71" t="s">
        <v>191</v>
      </c>
      <c r="B24" s="72">
        <v>45376</v>
      </c>
    </row>
    <row r="25" spans="1:2" x14ac:dyDescent="0.25">
      <c r="A25" s="71" t="s">
        <v>454</v>
      </c>
      <c r="B25" s="71" t="s">
        <v>1454</v>
      </c>
    </row>
    <row r="26" spans="1:2" x14ac:dyDescent="0.25">
      <c r="A26" s="71" t="s">
        <v>146</v>
      </c>
      <c r="B26" s="72">
        <v>45048</v>
      </c>
    </row>
    <row r="27" spans="1:2" x14ac:dyDescent="0.25">
      <c r="A27" s="71" t="s">
        <v>673</v>
      </c>
      <c r="B27" s="72">
        <v>45294</v>
      </c>
    </row>
    <row r="28" spans="1:2" x14ac:dyDescent="0.25">
      <c r="A28" s="71" t="s">
        <v>441</v>
      </c>
      <c r="B28" s="72">
        <v>45594</v>
      </c>
    </row>
    <row r="29" spans="1:2" x14ac:dyDescent="0.25">
      <c r="A29" s="71" t="s">
        <v>264</v>
      </c>
      <c r="B29" s="72">
        <v>45043</v>
      </c>
    </row>
    <row r="30" spans="1:2" x14ac:dyDescent="0.25">
      <c r="A30" s="71" t="s">
        <v>189</v>
      </c>
      <c r="B30" s="72" t="s">
        <v>1496</v>
      </c>
    </row>
    <row r="31" spans="1:2" x14ac:dyDescent="0.25">
      <c r="A31" s="71" t="s">
        <v>298</v>
      </c>
      <c r="B31" s="72">
        <v>45294</v>
      </c>
    </row>
    <row r="32" spans="1:2" x14ac:dyDescent="0.25">
      <c r="A32" s="71" t="s">
        <v>417</v>
      </c>
      <c r="B32" s="72">
        <v>45280</v>
      </c>
    </row>
    <row r="33" spans="1:3" x14ac:dyDescent="0.25">
      <c r="A33" s="71" t="s">
        <v>201</v>
      </c>
      <c r="B33" s="72">
        <v>45279</v>
      </c>
    </row>
    <row r="34" spans="1:3" x14ac:dyDescent="0.25">
      <c r="A34" s="71" t="s">
        <v>320</v>
      </c>
      <c r="B34" s="72">
        <v>43623</v>
      </c>
    </row>
    <row r="35" spans="1:3" x14ac:dyDescent="0.25">
      <c r="A35" s="71" t="s">
        <v>631</v>
      </c>
      <c r="B35" s="72">
        <v>44927</v>
      </c>
    </row>
    <row r="36" spans="1:3" x14ac:dyDescent="0.25">
      <c r="A36" s="71" t="s">
        <v>391</v>
      </c>
      <c r="B36" s="72">
        <v>45047</v>
      </c>
    </row>
    <row r="37" spans="1:3" x14ac:dyDescent="0.25">
      <c r="A37" s="71" t="s">
        <v>274</v>
      </c>
      <c r="B37" s="72">
        <v>45310</v>
      </c>
    </row>
    <row r="38" spans="1:3" x14ac:dyDescent="0.25">
      <c r="A38" s="71" t="s">
        <v>106</v>
      </c>
      <c r="B38" s="72">
        <v>45282</v>
      </c>
    </row>
    <row r="39" spans="1:3" x14ac:dyDescent="0.25">
      <c r="A39" s="71" t="s">
        <v>415</v>
      </c>
      <c r="B39" s="72">
        <v>45307</v>
      </c>
    </row>
    <row r="40" spans="1:3" x14ac:dyDescent="0.25">
      <c r="A40" s="71" t="s">
        <v>66</v>
      </c>
      <c r="B40" s="72">
        <v>44943</v>
      </c>
    </row>
    <row r="41" spans="1:3" x14ac:dyDescent="0.25">
      <c r="A41" s="71" t="s">
        <v>214</v>
      </c>
      <c r="B41" s="72">
        <v>45523</v>
      </c>
    </row>
    <row r="42" spans="1:3" x14ac:dyDescent="0.25">
      <c r="A42" s="71" t="s">
        <v>132</v>
      </c>
      <c r="B42" s="72">
        <v>44911</v>
      </c>
    </row>
    <row r="43" spans="1:3" x14ac:dyDescent="0.25">
      <c r="A43" s="71" t="s">
        <v>1160</v>
      </c>
      <c r="B43" s="72">
        <v>45280</v>
      </c>
    </row>
    <row r="44" spans="1:3" x14ac:dyDescent="0.25">
      <c r="A44" s="71" t="s">
        <v>285</v>
      </c>
      <c r="B44" s="72" t="s">
        <v>1497</v>
      </c>
      <c r="C44" s="113">
        <v>45279</v>
      </c>
    </row>
    <row r="45" spans="1:3" x14ac:dyDescent="0.25">
      <c r="A45" s="71" t="s">
        <v>278</v>
      </c>
      <c r="B45" s="72">
        <v>45307</v>
      </c>
    </row>
    <row r="46" spans="1:3" x14ac:dyDescent="0.25">
      <c r="A46" s="71" t="s">
        <v>313</v>
      </c>
      <c r="B46" s="71" t="s">
        <v>1454</v>
      </c>
    </row>
    <row r="47" spans="1:3" x14ac:dyDescent="0.25">
      <c r="A47" s="71" t="s">
        <v>104</v>
      </c>
      <c r="B47" s="71" t="s">
        <v>1454</v>
      </c>
    </row>
    <row r="48" spans="1:3" x14ac:dyDescent="0.25">
      <c r="A48" s="71" t="s">
        <v>178</v>
      </c>
      <c r="B48" s="71" t="s">
        <v>1454</v>
      </c>
    </row>
    <row r="49" spans="1:3" x14ac:dyDescent="0.25">
      <c r="A49" s="71" t="s">
        <v>1284</v>
      </c>
      <c r="B49" s="72">
        <v>45387</v>
      </c>
    </row>
    <row r="50" spans="1:3" x14ac:dyDescent="0.25">
      <c r="A50" s="71" t="s">
        <v>452</v>
      </c>
      <c r="B50" s="72">
        <v>45545</v>
      </c>
    </row>
    <row r="51" spans="1:3" x14ac:dyDescent="0.25">
      <c r="A51" s="71" t="s">
        <v>199</v>
      </c>
      <c r="B51" s="72">
        <v>44927</v>
      </c>
    </row>
    <row r="52" spans="1:3" x14ac:dyDescent="0.25">
      <c r="A52" s="71" t="s">
        <v>641</v>
      </c>
      <c r="B52" s="72">
        <v>45359</v>
      </c>
    </row>
    <row r="53" spans="1:3" x14ac:dyDescent="0.25">
      <c r="A53" s="71" t="s">
        <v>1147</v>
      </c>
      <c r="B53" s="72">
        <v>45278</v>
      </c>
    </row>
    <row r="54" spans="1:3" x14ac:dyDescent="0.25">
      <c r="A54" s="71" t="s">
        <v>667</v>
      </c>
      <c r="B54" s="72">
        <v>45310</v>
      </c>
    </row>
    <row r="55" spans="1:3" x14ac:dyDescent="0.25">
      <c r="A55" s="71" t="s">
        <v>1498</v>
      </c>
      <c r="B55" s="72">
        <v>45246</v>
      </c>
    </row>
    <row r="56" spans="1:3" x14ac:dyDescent="0.25">
      <c r="A56" s="71" t="s">
        <v>250</v>
      </c>
      <c r="B56" s="72">
        <v>36706</v>
      </c>
    </row>
    <row r="57" spans="1:3" x14ac:dyDescent="0.25">
      <c r="A57" s="71" t="s">
        <v>229</v>
      </c>
      <c r="B57" s="72">
        <v>45281</v>
      </c>
    </row>
    <row r="58" spans="1:3" x14ac:dyDescent="0.25">
      <c r="A58" s="71" t="s">
        <v>713</v>
      </c>
      <c r="B58" s="71" t="s">
        <v>1454</v>
      </c>
    </row>
    <row r="59" spans="1:3" x14ac:dyDescent="0.25">
      <c r="A59" s="71" t="s">
        <v>125</v>
      </c>
      <c r="B59" s="72">
        <v>45203</v>
      </c>
      <c r="C59" s="93" t="s">
        <v>1499</v>
      </c>
    </row>
    <row r="60" spans="1:3" x14ac:dyDescent="0.25">
      <c r="A60" s="71" t="s">
        <v>172</v>
      </c>
      <c r="B60" s="72">
        <v>45033</v>
      </c>
    </row>
    <row r="61" spans="1:3" x14ac:dyDescent="0.25">
      <c r="A61" s="71" t="s">
        <v>406</v>
      </c>
      <c r="B61" s="72">
        <v>44936</v>
      </c>
    </row>
    <row r="62" spans="1:3" x14ac:dyDescent="0.25">
      <c r="A62" s="71" t="s">
        <v>449</v>
      </c>
      <c r="B62" s="72">
        <v>45468</v>
      </c>
    </row>
    <row r="63" spans="1:3" x14ac:dyDescent="0.25">
      <c r="A63" s="71" t="s">
        <v>148</v>
      </c>
      <c r="B63" s="72">
        <v>45077</v>
      </c>
    </row>
    <row r="64" spans="1:3" x14ac:dyDescent="0.25">
      <c r="A64" s="71" t="s">
        <v>617</v>
      </c>
      <c r="B64" s="71" t="s">
        <v>1494</v>
      </c>
    </row>
    <row r="65" spans="1:3" x14ac:dyDescent="0.25">
      <c r="A65" s="71" t="s">
        <v>111</v>
      </c>
      <c r="B65" s="72">
        <v>45291</v>
      </c>
    </row>
    <row r="66" spans="1:3" x14ac:dyDescent="0.25">
      <c r="A66" s="71" t="s">
        <v>252</v>
      </c>
      <c r="B66" s="72">
        <v>45336</v>
      </c>
    </row>
    <row r="67" spans="1:3" x14ac:dyDescent="0.25">
      <c r="A67" s="71" t="s">
        <v>202</v>
      </c>
      <c r="B67" s="72">
        <v>45293</v>
      </c>
    </row>
    <row r="68" spans="1:3" x14ac:dyDescent="0.25">
      <c r="A68" s="71" t="s">
        <v>139</v>
      </c>
      <c r="B68" s="72">
        <v>45036</v>
      </c>
    </row>
    <row r="69" spans="1:3" x14ac:dyDescent="0.25">
      <c r="A69" s="71" t="s">
        <v>397</v>
      </c>
      <c r="B69" s="71" t="s">
        <v>1454</v>
      </c>
    </row>
    <row r="70" spans="1:3" x14ac:dyDescent="0.25">
      <c r="A70" s="71" t="s">
        <v>332</v>
      </c>
      <c r="B70" s="71" t="s">
        <v>1494</v>
      </c>
      <c r="C70" s="93" t="s">
        <v>1500</v>
      </c>
    </row>
    <row r="71" spans="1:3" x14ac:dyDescent="0.25">
      <c r="A71" s="71" t="s">
        <v>393</v>
      </c>
      <c r="B71" s="71" t="s">
        <v>1454</v>
      </c>
    </row>
    <row r="72" spans="1:3" x14ac:dyDescent="0.25">
      <c r="A72" s="71" t="s">
        <v>301</v>
      </c>
      <c r="B72" s="71" t="s">
        <v>1454</v>
      </c>
    </row>
    <row r="73" spans="1:3" x14ac:dyDescent="0.25">
      <c r="A73" s="71" t="s">
        <v>763</v>
      </c>
      <c r="B73" s="72">
        <v>45384</v>
      </c>
    </row>
    <row r="74" spans="1:3" x14ac:dyDescent="0.25">
      <c r="A74" s="71" t="s">
        <v>289</v>
      </c>
      <c r="B74" s="72">
        <v>45294</v>
      </c>
    </row>
    <row r="75" spans="1:3" x14ac:dyDescent="0.25">
      <c r="A75" s="71" t="s">
        <v>190</v>
      </c>
      <c r="B75" s="71" t="s">
        <v>1494</v>
      </c>
    </row>
    <row r="76" spans="1:3" x14ac:dyDescent="0.25">
      <c r="A76" s="71" t="s">
        <v>1501</v>
      </c>
      <c r="B76" s="72">
        <v>45201</v>
      </c>
    </row>
    <row r="77" spans="1:3" x14ac:dyDescent="0.25">
      <c r="A77" s="71" t="s">
        <v>294</v>
      </c>
      <c r="B77" s="72">
        <v>45201</v>
      </c>
    </row>
    <row r="78" spans="1:3" x14ac:dyDescent="0.25">
      <c r="A78" s="71" t="s">
        <v>345</v>
      </c>
      <c r="B78" s="71" t="s">
        <v>1454</v>
      </c>
    </row>
    <row r="79" spans="1:3" x14ac:dyDescent="0.25">
      <c r="A79" s="71" t="s">
        <v>788</v>
      </c>
      <c r="B79" s="72">
        <v>45597</v>
      </c>
    </row>
    <row r="80" spans="1:3" x14ac:dyDescent="0.25">
      <c r="A80" s="71" t="s">
        <v>652</v>
      </c>
      <c r="B80" s="71" t="s">
        <v>1061</v>
      </c>
    </row>
    <row r="81" spans="1:3" x14ac:dyDescent="0.25">
      <c r="A81" s="71" t="s">
        <v>364</v>
      </c>
      <c r="B81" s="72">
        <v>42947</v>
      </c>
    </row>
    <row r="82" spans="1:3" x14ac:dyDescent="0.25">
      <c r="A82" s="71" t="s">
        <v>196</v>
      </c>
      <c r="B82" s="72">
        <v>45428</v>
      </c>
    </row>
    <row r="83" spans="1:3" x14ac:dyDescent="0.25">
      <c r="A83" s="71" t="s">
        <v>386</v>
      </c>
      <c r="B83" s="72">
        <v>45028</v>
      </c>
    </row>
    <row r="84" spans="1:3" x14ac:dyDescent="0.25">
      <c r="A84" s="71" t="s">
        <v>1098</v>
      </c>
      <c r="B84" s="71" t="s">
        <v>1454</v>
      </c>
      <c r="C84" s="93" t="s">
        <v>1502</v>
      </c>
    </row>
    <row r="85" spans="1:3" x14ac:dyDescent="0.25">
      <c r="A85" s="71" t="s">
        <v>156</v>
      </c>
      <c r="B85" s="72">
        <v>45054</v>
      </c>
    </row>
    <row r="86" spans="1:3" x14ac:dyDescent="0.25">
      <c r="A86" s="71" t="s">
        <v>88</v>
      </c>
      <c r="B86" s="72">
        <v>44927</v>
      </c>
    </row>
    <row r="87" spans="1:3" x14ac:dyDescent="0.25">
      <c r="A87" s="71" t="s">
        <v>149</v>
      </c>
      <c r="B87" s="72">
        <v>45034</v>
      </c>
      <c r="C87" s="113" t="s">
        <v>1503</v>
      </c>
    </row>
    <row r="88" spans="1:3" x14ac:dyDescent="0.25">
      <c r="A88" s="71" t="s">
        <v>185</v>
      </c>
      <c r="B88" s="72">
        <v>45034</v>
      </c>
    </row>
    <row r="89" spans="1:3" x14ac:dyDescent="0.25">
      <c r="A89" s="71" t="s">
        <v>107</v>
      </c>
      <c r="B89" s="72">
        <v>44562</v>
      </c>
    </row>
    <row r="90" spans="1:3" x14ac:dyDescent="0.25">
      <c r="A90" s="71" t="s">
        <v>107</v>
      </c>
      <c r="B90" s="72">
        <v>45239</v>
      </c>
    </row>
    <row r="91" spans="1:3" x14ac:dyDescent="0.25">
      <c r="A91" s="71" t="s">
        <v>143</v>
      </c>
      <c r="B91" s="72">
        <v>45001</v>
      </c>
    </row>
    <row r="92" spans="1:3" x14ac:dyDescent="0.25">
      <c r="A92" s="71" t="s">
        <v>339</v>
      </c>
      <c r="B92" s="72">
        <v>44561</v>
      </c>
    </row>
    <row r="93" spans="1:3" x14ac:dyDescent="0.25">
      <c r="A93" s="71" t="s">
        <v>659</v>
      </c>
      <c r="B93" s="72">
        <v>45637</v>
      </c>
    </row>
    <row r="94" spans="1:3" x14ac:dyDescent="0.25">
      <c r="A94" s="71" t="s">
        <v>394</v>
      </c>
      <c r="B94" s="72">
        <v>45042</v>
      </c>
    </row>
    <row r="95" spans="1:3" x14ac:dyDescent="0.25">
      <c r="A95" s="71" t="s">
        <v>124</v>
      </c>
      <c r="B95" s="72">
        <v>45320</v>
      </c>
    </row>
    <row r="96" spans="1:3" x14ac:dyDescent="0.25">
      <c r="A96" s="71" t="s">
        <v>253</v>
      </c>
      <c r="B96" s="72">
        <v>45294</v>
      </c>
    </row>
    <row r="97" spans="1:2" x14ac:dyDescent="0.25">
      <c r="A97" s="244" t="s">
        <v>1504</v>
      </c>
      <c r="B97" s="245">
        <v>45413</v>
      </c>
    </row>
    <row r="98" spans="1:2" x14ac:dyDescent="0.25">
      <c r="A98" s="71" t="s">
        <v>1308</v>
      </c>
      <c r="B98" s="72">
        <v>45440</v>
      </c>
    </row>
    <row r="99" spans="1:2" x14ac:dyDescent="0.25">
      <c r="A99" s="71" t="s">
        <v>188</v>
      </c>
      <c r="B99" s="72">
        <v>44875</v>
      </c>
    </row>
    <row r="100" spans="1:2" x14ac:dyDescent="0.25">
      <c r="A100" s="71" t="s">
        <v>317</v>
      </c>
      <c r="B100" s="72">
        <v>45272</v>
      </c>
    </row>
    <row r="101" spans="1:2" x14ac:dyDescent="0.25">
      <c r="A101" s="71" t="s">
        <v>81</v>
      </c>
      <c r="B101" s="72">
        <v>45322</v>
      </c>
    </row>
    <row r="102" spans="1:2" x14ac:dyDescent="0.25">
      <c r="A102" s="71" t="s">
        <v>321</v>
      </c>
      <c r="B102" s="71" t="s">
        <v>1454</v>
      </c>
    </row>
    <row r="103" spans="1:2" x14ac:dyDescent="0.25">
      <c r="A103" s="71" t="s">
        <v>220</v>
      </c>
      <c r="B103" s="72">
        <v>44838</v>
      </c>
    </row>
    <row r="104" spans="1:2" x14ac:dyDescent="0.25">
      <c r="A104" s="71" t="s">
        <v>198</v>
      </c>
      <c r="B104" s="72">
        <v>45002</v>
      </c>
    </row>
    <row r="105" spans="1:2" x14ac:dyDescent="0.25">
      <c r="A105" s="71" t="s">
        <v>166</v>
      </c>
      <c r="B105" s="72">
        <v>44684</v>
      </c>
    </row>
    <row r="106" spans="1:2" x14ac:dyDescent="0.25">
      <c r="A106" s="71" t="s">
        <v>109</v>
      </c>
      <c r="B106" s="72">
        <v>45309</v>
      </c>
    </row>
    <row r="107" spans="1:2" x14ac:dyDescent="0.25">
      <c r="A107" s="71" t="s">
        <v>134</v>
      </c>
      <c r="B107" s="72">
        <v>45275</v>
      </c>
    </row>
    <row r="108" spans="1:2" x14ac:dyDescent="0.25">
      <c r="A108" s="71" t="s">
        <v>91</v>
      </c>
      <c r="B108" s="72">
        <v>45296</v>
      </c>
    </row>
    <row r="109" spans="1:2" x14ac:dyDescent="0.25">
      <c r="A109" s="71" t="s">
        <v>328</v>
      </c>
      <c r="B109" s="72">
        <v>45066</v>
      </c>
    </row>
    <row r="110" spans="1:2" x14ac:dyDescent="0.25">
      <c r="A110" s="71" t="s">
        <v>435</v>
      </c>
      <c r="B110" s="72">
        <v>45322</v>
      </c>
    </row>
    <row r="111" spans="1:2" x14ac:dyDescent="0.25">
      <c r="A111" s="71" t="s">
        <v>401</v>
      </c>
      <c r="B111" s="72">
        <v>45034</v>
      </c>
    </row>
    <row r="112" spans="1:2" x14ac:dyDescent="0.25">
      <c r="A112" s="71" t="s">
        <v>70</v>
      </c>
      <c r="B112" s="72">
        <v>45813</v>
      </c>
    </row>
    <row r="113" spans="1:2" x14ac:dyDescent="0.25">
      <c r="A113" s="71" t="s">
        <v>403</v>
      </c>
      <c r="B113" s="72">
        <v>44946</v>
      </c>
    </row>
    <row r="114" spans="1:2" x14ac:dyDescent="0.25">
      <c r="A114" s="71" t="s">
        <v>427</v>
      </c>
      <c r="B114" s="71" t="s">
        <v>1454</v>
      </c>
    </row>
    <row r="115" spans="1:2" x14ac:dyDescent="0.25">
      <c r="A115" s="71" t="s">
        <v>184</v>
      </c>
      <c r="B115" s="71" t="s">
        <v>1454</v>
      </c>
    </row>
    <row r="116" spans="1:2" x14ac:dyDescent="0.25">
      <c r="A116" s="71" t="s">
        <v>363</v>
      </c>
      <c r="B116" s="71" t="s">
        <v>1454</v>
      </c>
    </row>
    <row r="117" spans="1:2" x14ac:dyDescent="0.25">
      <c r="A117" s="71" t="s">
        <v>164</v>
      </c>
      <c r="B117" s="72">
        <v>44973</v>
      </c>
    </row>
    <row r="118" spans="1:2" x14ac:dyDescent="0.25">
      <c r="A118" s="71" t="s">
        <v>238</v>
      </c>
      <c r="B118" s="72">
        <v>45554</v>
      </c>
    </row>
    <row r="119" spans="1:2" x14ac:dyDescent="0.25">
      <c r="A119" s="71" t="s">
        <v>404</v>
      </c>
      <c r="B119" s="71" t="s">
        <v>1505</v>
      </c>
    </row>
    <row r="120" spans="1:2" x14ac:dyDescent="0.25">
      <c r="A120" s="71" t="s">
        <v>102</v>
      </c>
      <c r="B120" s="72">
        <v>45054</v>
      </c>
    </row>
    <row r="121" spans="1:2" x14ac:dyDescent="0.25">
      <c r="A121" s="71" t="s">
        <v>370</v>
      </c>
      <c r="B121" s="71" t="s">
        <v>1494</v>
      </c>
    </row>
    <row r="122" spans="1:2" x14ac:dyDescent="0.25">
      <c r="A122" s="71" t="s">
        <v>181</v>
      </c>
      <c r="B122" s="71" t="s">
        <v>1494</v>
      </c>
    </row>
    <row r="123" spans="1:2" x14ac:dyDescent="0.25">
      <c r="A123" s="71" t="s">
        <v>1368</v>
      </c>
      <c r="B123" s="71" t="s">
        <v>1454</v>
      </c>
    </row>
    <row r="124" spans="1:2" x14ac:dyDescent="0.25">
      <c r="A124" s="71" t="s">
        <v>233</v>
      </c>
      <c r="B124" s="72">
        <v>45281</v>
      </c>
    </row>
    <row r="125" spans="1:2" x14ac:dyDescent="0.25">
      <c r="A125" s="71" t="s">
        <v>270</v>
      </c>
      <c r="B125" s="72">
        <v>45196</v>
      </c>
    </row>
    <row r="126" spans="1:2" x14ac:dyDescent="0.25">
      <c r="A126" s="71" t="s">
        <v>261</v>
      </c>
      <c r="B126" s="72">
        <v>45540</v>
      </c>
    </row>
    <row r="127" spans="1:2" x14ac:dyDescent="0.25">
      <c r="A127" s="71" t="s">
        <v>1506</v>
      </c>
      <c r="B127" s="71" t="s">
        <v>1454</v>
      </c>
    </row>
    <row r="128" spans="1:2" x14ac:dyDescent="0.25">
      <c r="A128" s="71" t="s">
        <v>246</v>
      </c>
      <c r="B128" s="72">
        <v>42453</v>
      </c>
    </row>
    <row r="129" spans="1:2" x14ac:dyDescent="0.25">
      <c r="A129" s="71" t="s">
        <v>1507</v>
      </c>
      <c r="B129" s="71" t="s">
        <v>1494</v>
      </c>
    </row>
    <row r="130" spans="1:2" x14ac:dyDescent="0.25">
      <c r="A130" s="71" t="s">
        <v>78</v>
      </c>
      <c r="B130" s="72">
        <v>45029</v>
      </c>
    </row>
    <row r="131" spans="1:2" x14ac:dyDescent="0.25">
      <c r="A131" s="71" t="s">
        <v>217</v>
      </c>
      <c r="B131" s="72">
        <v>45616</v>
      </c>
    </row>
    <row r="132" spans="1:2" x14ac:dyDescent="0.25">
      <c r="A132" s="71" t="s">
        <v>122</v>
      </c>
      <c r="B132" s="72">
        <v>45033</v>
      </c>
    </row>
    <row r="133" spans="1:2" x14ac:dyDescent="0.25">
      <c r="A133" s="71" t="s">
        <v>1242</v>
      </c>
      <c r="B133" s="72">
        <v>45348</v>
      </c>
    </row>
    <row r="134" spans="1:2" x14ac:dyDescent="0.25">
      <c r="A134" s="71" t="s">
        <v>615</v>
      </c>
      <c r="B134" s="72">
        <v>45286</v>
      </c>
    </row>
    <row r="135" spans="1:2" x14ac:dyDescent="0.25">
      <c r="A135" s="71" t="s">
        <v>728</v>
      </c>
      <c r="B135" s="72">
        <v>45358</v>
      </c>
    </row>
    <row r="136" spans="1:2" x14ac:dyDescent="0.25">
      <c r="A136" s="71" t="s">
        <v>622</v>
      </c>
      <c r="B136" s="71" t="s">
        <v>624</v>
      </c>
    </row>
    <row r="137" spans="1:2" x14ac:dyDescent="0.25">
      <c r="A137" s="71" t="s">
        <v>395</v>
      </c>
      <c r="B137" s="71" t="s">
        <v>1494</v>
      </c>
    </row>
    <row r="138" spans="1:2" x14ac:dyDescent="0.25">
      <c r="A138" s="71" t="s">
        <v>247</v>
      </c>
      <c r="B138" s="72">
        <v>45457</v>
      </c>
    </row>
    <row r="139" spans="1:2" x14ac:dyDescent="0.25">
      <c r="A139" s="71" t="s">
        <v>346</v>
      </c>
      <c r="B139" s="72">
        <v>45034</v>
      </c>
    </row>
    <row r="140" spans="1:2" x14ac:dyDescent="0.25">
      <c r="A140" s="71" t="s">
        <v>195</v>
      </c>
      <c r="B140" s="72">
        <v>45274</v>
      </c>
    </row>
    <row r="141" spans="1:2" x14ac:dyDescent="0.25">
      <c r="A141" s="71" t="s">
        <v>161</v>
      </c>
      <c r="B141" s="72">
        <v>45414</v>
      </c>
    </row>
    <row r="142" spans="1:2" x14ac:dyDescent="0.25">
      <c r="A142" s="71" t="s">
        <v>129</v>
      </c>
      <c r="B142" s="72">
        <v>45041</v>
      </c>
    </row>
    <row r="143" spans="1:2" x14ac:dyDescent="0.25">
      <c r="A143" s="71" t="s">
        <v>319</v>
      </c>
      <c r="B143" s="72">
        <v>45184</v>
      </c>
    </row>
    <row r="144" spans="1:2" x14ac:dyDescent="0.25">
      <c r="A144" s="71" t="s">
        <v>114</v>
      </c>
      <c r="B144" s="72">
        <v>45029</v>
      </c>
    </row>
    <row r="145" spans="1:2" x14ac:dyDescent="0.25">
      <c r="A145" s="71" t="s">
        <v>459</v>
      </c>
      <c r="B145" s="71" t="s">
        <v>1508</v>
      </c>
    </row>
    <row r="146" spans="1:2" x14ac:dyDescent="0.25">
      <c r="A146" s="71" t="s">
        <v>358</v>
      </c>
      <c r="B146" s="71" t="s">
        <v>1454</v>
      </c>
    </row>
    <row r="147" spans="1:2" x14ac:dyDescent="0.25">
      <c r="A147" s="71" t="s">
        <v>216</v>
      </c>
      <c r="B147" s="72">
        <v>45013</v>
      </c>
    </row>
    <row r="148" spans="1:2" x14ac:dyDescent="0.25">
      <c r="A148" s="71" t="s">
        <v>216</v>
      </c>
      <c r="B148" s="72">
        <v>45064</v>
      </c>
    </row>
    <row r="149" spans="1:2" x14ac:dyDescent="0.25">
      <c r="A149" s="71" t="s">
        <v>836</v>
      </c>
      <c r="B149" s="72">
        <v>45324</v>
      </c>
    </row>
    <row r="150" spans="1:2" x14ac:dyDescent="0.25">
      <c r="A150" s="71" t="s">
        <v>97</v>
      </c>
      <c r="B150" s="72">
        <v>44943</v>
      </c>
    </row>
    <row r="151" spans="1:2" x14ac:dyDescent="0.25">
      <c r="A151" s="71" t="s">
        <v>223</v>
      </c>
      <c r="B151" s="71" t="s">
        <v>1454</v>
      </c>
    </row>
    <row r="152" spans="1:2" x14ac:dyDescent="0.25">
      <c r="A152" s="71" t="s">
        <v>206</v>
      </c>
      <c r="B152" s="72">
        <v>45295</v>
      </c>
    </row>
    <row r="153" spans="1:2" x14ac:dyDescent="0.25">
      <c r="A153" s="71" t="s">
        <v>806</v>
      </c>
      <c r="B153" s="72">
        <v>45425</v>
      </c>
    </row>
    <row r="154" spans="1:2" x14ac:dyDescent="0.25">
      <c r="A154" s="71" t="s">
        <v>123</v>
      </c>
      <c r="B154" s="71" t="s">
        <v>1454</v>
      </c>
    </row>
    <row r="155" spans="1:2" x14ac:dyDescent="0.25">
      <c r="A155" s="71" t="s">
        <v>215</v>
      </c>
      <c r="B155" s="71" t="s">
        <v>1454</v>
      </c>
    </row>
    <row r="156" spans="1:2" x14ac:dyDescent="0.25">
      <c r="A156" s="71" t="s">
        <v>271</v>
      </c>
      <c r="B156" s="72">
        <v>45320</v>
      </c>
    </row>
    <row r="157" spans="1:2" x14ac:dyDescent="0.25">
      <c r="A157" s="71" t="s">
        <v>374</v>
      </c>
      <c r="B157" s="71" t="s">
        <v>1454</v>
      </c>
    </row>
    <row r="158" spans="1:2" x14ac:dyDescent="0.25">
      <c r="A158" s="71" t="s">
        <v>337</v>
      </c>
      <c r="B158" s="72">
        <v>45484</v>
      </c>
    </row>
    <row r="159" spans="1:2" x14ac:dyDescent="0.25">
      <c r="A159" s="71" t="s">
        <v>117</v>
      </c>
      <c r="B159" s="72">
        <v>45370</v>
      </c>
    </row>
    <row r="160" spans="1:2" x14ac:dyDescent="0.25">
      <c r="A160" s="71" t="s">
        <v>628</v>
      </c>
      <c r="B160" s="72">
        <v>44562</v>
      </c>
    </row>
    <row r="161" spans="1:2" x14ac:dyDescent="0.25">
      <c r="A161" s="71" t="s">
        <v>628</v>
      </c>
      <c r="B161" s="72">
        <v>45474</v>
      </c>
    </row>
    <row r="162" spans="1:2" x14ac:dyDescent="0.25">
      <c r="A162" s="71" t="s">
        <v>376</v>
      </c>
      <c r="B162" s="72">
        <v>45370</v>
      </c>
    </row>
    <row r="163" spans="1:2" x14ac:dyDescent="0.25">
      <c r="A163" s="71" t="s">
        <v>120</v>
      </c>
      <c r="B163" s="72">
        <v>44927</v>
      </c>
    </row>
    <row r="164" spans="1:2" x14ac:dyDescent="0.25">
      <c r="A164" s="71" t="s">
        <v>373</v>
      </c>
      <c r="B164" s="72">
        <v>45274</v>
      </c>
    </row>
    <row r="165" spans="1:2" x14ac:dyDescent="0.25">
      <c r="A165" s="71" t="s">
        <v>168</v>
      </c>
      <c r="B165" s="72">
        <v>44967</v>
      </c>
    </row>
    <row r="166" spans="1:2" x14ac:dyDescent="0.25">
      <c r="A166" s="71" t="s">
        <v>121</v>
      </c>
      <c r="B166" s="72">
        <v>45286</v>
      </c>
    </row>
    <row r="167" spans="1:2" x14ac:dyDescent="0.25">
      <c r="A167" s="71" t="s">
        <v>231</v>
      </c>
      <c r="B167" s="72">
        <v>45061</v>
      </c>
    </row>
    <row r="168" spans="1:2" x14ac:dyDescent="0.25">
      <c r="A168" s="71" t="s">
        <v>283</v>
      </c>
      <c r="B168" s="72">
        <v>45294</v>
      </c>
    </row>
    <row r="169" spans="1:2" x14ac:dyDescent="0.25">
      <c r="A169" s="71" t="s">
        <v>169</v>
      </c>
      <c r="B169" s="71" t="s">
        <v>1454</v>
      </c>
    </row>
    <row r="170" spans="1:2" x14ac:dyDescent="0.25">
      <c r="A170" s="71" t="s">
        <v>371</v>
      </c>
      <c r="B170" s="72">
        <v>45540</v>
      </c>
    </row>
    <row r="171" spans="1:2" x14ac:dyDescent="0.25">
      <c r="A171" s="71" t="s">
        <v>816</v>
      </c>
      <c r="B171" s="72">
        <v>44562</v>
      </c>
    </row>
    <row r="172" spans="1:2" x14ac:dyDescent="0.25">
      <c r="A172" s="71" t="s">
        <v>74</v>
      </c>
      <c r="B172" s="71" t="s">
        <v>1454</v>
      </c>
    </row>
    <row r="173" spans="1:2" x14ac:dyDescent="0.25">
      <c r="A173" s="71" t="s">
        <v>210</v>
      </c>
      <c r="B173" s="72">
        <v>44927</v>
      </c>
    </row>
    <row r="174" spans="1:2" x14ac:dyDescent="0.25">
      <c r="A174" s="71" t="s">
        <v>249</v>
      </c>
      <c r="B174" s="71" t="s">
        <v>1454</v>
      </c>
    </row>
    <row r="175" spans="1:2" x14ac:dyDescent="0.25">
      <c r="A175" s="71" t="s">
        <v>996</v>
      </c>
      <c r="B175" s="72">
        <v>45336</v>
      </c>
    </row>
    <row r="176" spans="1:2" x14ac:dyDescent="0.25">
      <c r="A176" s="71" t="s">
        <v>388</v>
      </c>
      <c r="B176" s="71" t="s">
        <v>1454</v>
      </c>
    </row>
    <row r="177" spans="1:3" x14ac:dyDescent="0.25">
      <c r="A177" s="71" t="s">
        <v>1203</v>
      </c>
      <c r="B177" s="72">
        <v>45320</v>
      </c>
    </row>
    <row r="178" spans="1:3" x14ac:dyDescent="0.25">
      <c r="A178" s="71" t="s">
        <v>69</v>
      </c>
      <c r="B178" s="72">
        <v>45030</v>
      </c>
    </row>
    <row r="179" spans="1:3" x14ac:dyDescent="0.25">
      <c r="A179" s="287" t="s">
        <v>1373</v>
      </c>
      <c r="B179" s="72">
        <v>45470</v>
      </c>
    </row>
    <row r="180" spans="1:3" x14ac:dyDescent="0.25">
      <c r="A180" s="71" t="s">
        <v>268</v>
      </c>
      <c r="B180" s="71" t="s">
        <v>1494</v>
      </c>
      <c r="C180" s="93" t="s">
        <v>1509</v>
      </c>
    </row>
    <row r="181" spans="1:3" x14ac:dyDescent="0.25">
      <c r="A181" s="71" t="s">
        <v>204</v>
      </c>
      <c r="B181" s="72">
        <v>45042</v>
      </c>
    </row>
    <row r="182" spans="1:3" x14ac:dyDescent="0.25">
      <c r="A182" s="71" t="s">
        <v>1456</v>
      </c>
      <c r="B182" s="72">
        <v>45623</v>
      </c>
    </row>
    <row r="183" spans="1:3" x14ac:dyDescent="0.25">
      <c r="A183" s="360" t="s">
        <v>1083</v>
      </c>
      <c r="B183" s="72">
        <v>45692</v>
      </c>
    </row>
    <row r="184" spans="1:3" x14ac:dyDescent="0.25">
      <c r="A184" s="71" t="s">
        <v>487</v>
      </c>
      <c r="B184" s="71" t="s">
        <v>1494</v>
      </c>
    </row>
    <row r="185" spans="1:3" x14ac:dyDescent="0.25">
      <c r="A185" s="360" t="s">
        <v>1510</v>
      </c>
      <c r="B185" s="72">
        <v>45729</v>
      </c>
    </row>
    <row r="186" spans="1:3" x14ac:dyDescent="0.25">
      <c r="A186" s="71" t="s">
        <v>485</v>
      </c>
      <c r="B186" s="72">
        <v>45747</v>
      </c>
    </row>
    <row r="187" spans="1:3" x14ac:dyDescent="0.25">
      <c r="A187" s="71" t="s">
        <v>165</v>
      </c>
      <c r="B187" s="71" t="s">
        <v>1454</v>
      </c>
    </row>
    <row r="188" spans="1:3" x14ac:dyDescent="0.25">
      <c r="A188" s="71" t="s">
        <v>504</v>
      </c>
      <c r="B188" s="71" t="s">
        <v>1494</v>
      </c>
    </row>
    <row r="189" spans="1:3" x14ac:dyDescent="0.25">
      <c r="A189" s="71" t="s">
        <v>494</v>
      </c>
      <c r="B189" s="72">
        <v>45779</v>
      </c>
    </row>
    <row r="2183" spans="1:2" x14ac:dyDescent="0.25">
      <c r="A2183" s="73"/>
      <c r="B2183" s="73"/>
    </row>
    <row r="2184" spans="1:2" x14ac:dyDescent="0.25">
      <c r="A2184" s="73"/>
      <c r="B2184" s="73"/>
    </row>
    <row r="2185" spans="1:2" x14ac:dyDescent="0.25">
      <c r="A2185" s="73"/>
      <c r="B2185" s="73"/>
    </row>
    <row r="2186" spans="1:2" x14ac:dyDescent="0.25">
      <c r="A2186" s="73"/>
      <c r="B2186" s="73"/>
    </row>
    <row r="2187" spans="1:2" x14ac:dyDescent="0.25">
      <c r="A2187" s="73"/>
      <c r="B2187" s="73"/>
    </row>
    <row r="2188" spans="1:2" x14ac:dyDescent="0.25">
      <c r="A2188" s="73"/>
      <c r="B2188" s="73"/>
    </row>
    <row r="2189" spans="1:2" x14ac:dyDescent="0.25">
      <c r="A2189" s="73"/>
      <c r="B2189" s="73"/>
    </row>
  </sheetData>
  <autoFilter ref="A1:C174" xr:uid="{66E50E49-E38E-40B0-96E4-AD6E1B48B592}">
    <sortState xmlns:xlrd2="http://schemas.microsoft.com/office/spreadsheetml/2017/richdata2" ref="A2:C174">
      <sortCondition ref="B1:B128"/>
    </sortState>
  </autoFilter>
  <sortState xmlns:xlrd2="http://schemas.microsoft.com/office/spreadsheetml/2017/richdata2" ref="A1:C2189">
    <sortCondition ref="A2:A2189"/>
  </sortState>
  <conditionalFormatting sqref="B1:B166 B168:B1048576">
    <cfRule type="cellIs" dxfId="0" priority="1" operator="equal">
      <formula>"NOT EXEMPT"</formula>
    </cfRule>
  </conditionalFormatting>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4A84A-6AAD-4571-9E92-A82B6BE79261}">
  <sheetPr>
    <tabColor rgb="FF99CCFF"/>
  </sheetPr>
  <dimension ref="A1:BK61"/>
  <sheetViews>
    <sheetView topLeftCell="AJ1" workbookViewId="0">
      <pane ySplit="1" topLeftCell="A139" activePane="bottomLeft" state="frozen"/>
      <selection pane="bottomLeft" activeCell="AO6" sqref="AO6"/>
    </sheetView>
  </sheetViews>
  <sheetFormatPr defaultRowHeight="15" x14ac:dyDescent="0.25"/>
  <cols>
    <col min="2" max="2" width="14.5703125" bestFit="1" customWidth="1"/>
    <col min="3" max="3" width="14.5703125" hidden="1" customWidth="1"/>
    <col min="4" max="4" width="10.42578125" bestFit="1" customWidth="1"/>
    <col min="5" max="5" width="10.42578125" hidden="1" customWidth="1"/>
    <col min="6" max="6" width="9" hidden="1" customWidth="1"/>
    <col min="7" max="7" width="9" customWidth="1"/>
    <col min="8" max="8" width="9" style="350" hidden="1" customWidth="1"/>
    <col min="9" max="9" width="9.140625" style="349"/>
    <col min="10" max="10" width="9.140625" style="349" hidden="1" customWidth="1"/>
    <col min="11" max="11" width="9.85546875" bestFit="1" customWidth="1"/>
    <col min="12" max="12" width="9.85546875" customWidth="1"/>
    <col min="13" max="13" width="10.42578125" style="349" bestFit="1" customWidth="1"/>
    <col min="14" max="14" width="11.28515625" style="349" hidden="1" customWidth="1"/>
    <col min="15" max="15" width="16.7109375" style="358" bestFit="1" customWidth="1"/>
    <col min="16" max="16" width="18.28515625" style="358" customWidth="1"/>
    <col min="17" max="17" width="17.28515625" style="358" bestFit="1" customWidth="1"/>
    <col min="18" max="18" width="18.7109375" style="358" hidden="1" customWidth="1"/>
    <col min="19" max="19" width="15.28515625" style="358" customWidth="1"/>
    <col min="20" max="20" width="15.28515625" style="358" hidden="1" customWidth="1"/>
    <col min="21" max="21" width="15.28515625" style="349" customWidth="1"/>
    <col min="22" max="22" width="15.28515625" style="349" hidden="1" customWidth="1"/>
    <col min="23" max="23" width="15.7109375" hidden="1" customWidth="1"/>
    <col min="24" max="24" width="14.7109375" hidden="1" customWidth="1"/>
    <col min="25" max="26" width="15.7109375" hidden="1" customWidth="1"/>
    <col min="27" max="28" width="19.5703125" customWidth="1"/>
    <col min="29" max="30" width="15.7109375" bestFit="1" customWidth="1"/>
    <col min="31" max="31" width="15.28515625" style="350" customWidth="1"/>
    <col min="32" max="32" width="18.7109375" bestFit="1" customWidth="1"/>
    <col min="33" max="33" width="18.7109375" style="350" hidden="1" customWidth="1"/>
    <col min="34" max="34" width="24.42578125" style="358" bestFit="1" customWidth="1"/>
    <col min="35" max="35" width="24.42578125" style="358" hidden="1" customWidth="1"/>
    <col min="36" max="36" width="24.42578125" style="358" bestFit="1" customWidth="1"/>
    <col min="37" max="37" width="15.28515625" style="358" hidden="1" customWidth="1"/>
    <col min="38" max="38" width="3.42578125" style="358" customWidth="1"/>
    <col min="39" max="39" width="3.42578125" hidden="1" customWidth="1"/>
    <col min="51" max="51" width="9.140625" customWidth="1"/>
    <col min="52" max="52" width="9.140625" hidden="1" customWidth="1"/>
    <col min="62" max="62" width="43.28515625" bestFit="1" customWidth="1"/>
    <col min="63" max="63" width="12.7109375" bestFit="1" customWidth="1"/>
  </cols>
  <sheetData>
    <row r="1" spans="1:63" s="362" customFormat="1" ht="30" customHeight="1" x14ac:dyDescent="0.25">
      <c r="A1" s="362" t="s">
        <v>1511</v>
      </c>
      <c r="B1" s="362" t="s">
        <v>1512</v>
      </c>
      <c r="C1" s="362" t="s">
        <v>1512</v>
      </c>
      <c r="D1" s="362" t="s">
        <v>1513</v>
      </c>
      <c r="E1" s="362" t="s">
        <v>1513</v>
      </c>
      <c r="F1" s="362" t="s">
        <v>1514</v>
      </c>
      <c r="G1" s="362" t="s">
        <v>1514</v>
      </c>
      <c r="H1" s="362" t="s">
        <v>1514</v>
      </c>
      <c r="I1" s="363" t="s">
        <v>1515</v>
      </c>
      <c r="J1" s="363" t="s">
        <v>1515</v>
      </c>
      <c r="K1" s="362" t="s">
        <v>1516</v>
      </c>
      <c r="L1" s="362" t="s">
        <v>1517</v>
      </c>
      <c r="M1" s="363" t="s">
        <v>1518</v>
      </c>
      <c r="N1" s="363" t="s">
        <v>1518</v>
      </c>
      <c r="O1" s="364" t="s">
        <v>1519</v>
      </c>
      <c r="P1" s="364" t="s">
        <v>1519</v>
      </c>
      <c r="Q1" s="364" t="s">
        <v>1520</v>
      </c>
      <c r="R1" s="364" t="s">
        <v>1520</v>
      </c>
      <c r="S1" s="364" t="s">
        <v>1521</v>
      </c>
      <c r="T1" s="364" t="s">
        <v>1521</v>
      </c>
      <c r="U1" s="363" t="s">
        <v>1522</v>
      </c>
      <c r="V1" s="363" t="s">
        <v>1522</v>
      </c>
      <c r="W1" s="362" t="s">
        <v>429</v>
      </c>
      <c r="X1" s="362" t="s">
        <v>477</v>
      </c>
      <c r="Y1" s="362" t="s">
        <v>434</v>
      </c>
      <c r="Z1" s="362" t="s">
        <v>486</v>
      </c>
      <c r="AA1" s="362" t="s">
        <v>1523</v>
      </c>
      <c r="AB1" s="362" t="s">
        <v>1524</v>
      </c>
      <c r="AC1" s="362" t="s">
        <v>1525</v>
      </c>
      <c r="AD1" s="362" t="s">
        <v>1526</v>
      </c>
      <c r="AE1" s="365" t="s">
        <v>1517</v>
      </c>
      <c r="AF1" s="362" t="s">
        <v>1527</v>
      </c>
      <c r="AG1" s="362" t="s">
        <v>1527</v>
      </c>
      <c r="AH1" s="364" t="s">
        <v>1528</v>
      </c>
      <c r="AI1" s="364" t="s">
        <v>1528</v>
      </c>
      <c r="AJ1" s="364" t="s">
        <v>1529</v>
      </c>
      <c r="AK1" s="364" t="s">
        <v>1529</v>
      </c>
      <c r="AL1" s="364"/>
      <c r="AO1" s="366" t="s">
        <v>1530</v>
      </c>
    </row>
    <row r="2" spans="1:63" x14ac:dyDescent="0.25">
      <c r="A2" s="338">
        <v>44197</v>
      </c>
      <c r="B2">
        <f>COUNTIFS('Quote Log'!$B:$B,"&lt;&gt;VOID",'Quote Log'!$B:$B,"&lt;&gt;Requoted",'Quote Log'!$C:$C,"&gt;="&amp;DATE(2021,1,1),'Quote Log'!$C:$C,"&lt;="&amp;DATE(2021,1,31),'Quote Log'!$B:$B,"&lt;&gt;VOID",'Quote Log'!$B:$B,"&lt;&gt;Requoted")</f>
        <v>0</v>
      </c>
      <c r="C2" t="e">
        <f t="shared" ref="C2:C13" si="0">IF($AO$2,B2,NA())</f>
        <v>#N/A</v>
      </c>
      <c r="D2">
        <f>COUNTIFS('Quote Log'!$B:$B,"&lt;&gt;VOID",'Quote Log'!$B:$B,"&lt;&gt;Requoted",'Quote Log'!$H:$H,"&gt;="&amp;DATE(2021,1,1),'Quote Log'!$H:$H,"&lt;="&amp;DATE(2021,1,31))</f>
        <v>0</v>
      </c>
      <c r="E2" t="e">
        <f t="shared" ref="E2:E13" si="1">IF($AO$2,D2,NA())</f>
        <v>#N/A</v>
      </c>
      <c r="F2" t="e">
        <f t="shared" ref="F2:F13" si="2">IF(AO$2,G2,NA())</f>
        <v>#N/A</v>
      </c>
      <c r="G2">
        <f>COUNTIFS('Quote Log'!$C:$C,"&gt;="&amp;DATE(2021,1,1),'Quote Log'!$C:$C,"&lt;="&amp;DATE(2021,1,31),'Quote Log'!$B:$B,"=Purchased")</f>
        <v>0</v>
      </c>
      <c r="H2" s="350" t="e">
        <f t="shared" ref="H2:H13" si="3">IF($AO$2,G2,NA())</f>
        <v>#N/A</v>
      </c>
      <c r="I2" s="349" t="e">
        <f t="shared" ref="I2:I49" si="4">G2/B2</f>
        <v>#DIV/0!</v>
      </c>
      <c r="J2" s="349" t="e">
        <f t="shared" ref="J2:J13" si="5">IF($AO$2,F2/B2,NA())</f>
        <v>#N/A</v>
      </c>
      <c r="K2">
        <f>COUNTIFS('Quote Log'!$C:$C,"&gt;="&amp;DATE(2021,1,1),'Quote Log'!$C:$C,"&lt;="&amp;DATE(2021,1,31),'Quote Log'!$B:$B,"=LOST")</f>
        <v>0</v>
      </c>
      <c r="L2">
        <f>COUNTIFS('Quote Log'!$B:$B,"&lt;&gt;VOID",'Quote Log'!$B:$B,"&lt;&gt;Requoted",'Quote Log'!$C:$C,"&gt;="&amp;DATE(2021,1,1),'Quote Log'!$C:$C,"&lt;="&amp;DATE(2021,1,31),'Quote Log'!$V:$V,"=new")</f>
        <v>0</v>
      </c>
      <c r="M2" s="349" t="e">
        <f t="shared" ref="M2:M49" si="6">L2/B2</f>
        <v>#DIV/0!</v>
      </c>
      <c r="N2" s="339" t="e">
        <f t="shared" ref="N2:N13" si="7">IF($AO$2,M2,NA())</f>
        <v>#N/A</v>
      </c>
      <c r="O2" s="358">
        <f>SUMIFS('Quote Log'!$AB:$AB,'Quote Log'!$C:$C,"&gt;="&amp;DATE(2021,1,1),'Quote Log'!$C:$C,"&lt;="&amp;DATE(2021,1,31),'Quote Log'!$B:$B,"=Purchased",'Quote Log'!$AB:$AB,"&lt;&gt;#VALUE!")</f>
        <v>0</v>
      </c>
      <c r="P2" s="358" t="e">
        <f t="shared" ref="P2:P13" si="8">IF($AO$2,O2,NA())</f>
        <v>#N/A</v>
      </c>
      <c r="Q2" s="358" t="e">
        <f>NA()</f>
        <v>#N/A</v>
      </c>
      <c r="R2" s="349" t="e">
        <f t="shared" ref="R2:R13" si="9">IF($AO$2,Q2,NA())</f>
        <v>#N/A</v>
      </c>
      <c r="S2" s="358">
        <f>SUMIFS('Quote Log'!$AB:$AB,'Quote Log'!$C:$C,"&gt;="&amp;DATE(2021,1,1),'Quote Log'!$C:$C,"&lt;="&amp;DATE(2021,1,31),'Quote Log'!$B:$B,"=Purchased",'Quote Log'!$AB:$AB,"&lt;&gt;#VALUE!")</f>
        <v>0</v>
      </c>
      <c r="T2" s="358" t="e">
        <f t="shared" ref="T2:T13" si="10">IF($AO$2,S2,NA())</f>
        <v>#N/A</v>
      </c>
      <c r="U2" s="349" t="e">
        <f>NA()</f>
        <v>#N/A</v>
      </c>
      <c r="V2" s="349" t="e">
        <f t="shared" ref="V2:V13" si="11">IF($AO$2,U2,NA())</f>
        <v>#N/A</v>
      </c>
      <c r="W2">
        <f>COUNTIFS('Quote Log'!$B:$B,"&lt;&gt;VOID",'Quote Log'!$B:$B,"&lt;&gt;Requoted",'Quote Log'!$C:$C,"&gt;="&amp;DATE(2021,1,1),'Quote Log'!$C:$C,"&lt;="&amp;DATE(2021,1,31),'Quote Log'!$AK:$AK,"=Web Unknown")</f>
        <v>0</v>
      </c>
      <c r="X2">
        <f>COUNTIFS('Quote Log'!$B:$B,"&lt;&gt;VOID",'Quote Log'!$B:$B,"&lt;&gt;Requoted",'Quote Log'!$C:$C,"&gt;="&amp;DATE(2021,1,1),'Quote Log'!$C:$C,"&lt;="&amp;DATE(2021,1,31),'Quote Log'!$AK:$AK,"=Google")</f>
        <v>0</v>
      </c>
      <c r="Y2">
        <f>COUNTIFS('Quote Log'!$B:$B,"&lt;&gt;VOID",'Quote Log'!$B:$B,"&lt;&gt;Requoted",'Quote Log'!$C:$C,"&gt;="&amp;DATE(2021,1,1),'Quote Log'!$C:$C,"&lt;="&amp;DATE(2021,1,31),'Quote Log'!$AK:$AK,"=Linked-In")</f>
        <v>0</v>
      </c>
      <c r="Z2">
        <f>COUNTIFS('Quote Log'!$B:$B,"&lt;&gt;VOID",'Quote Log'!$B:$B,"&lt;&gt;Requoted",'Quote Log'!$C:$C,"&gt;="&amp;DATE(2021,1,1),'Quote Log'!$C:$C,"&lt;="&amp;DATE(2021,1,31),'Quote Log'!$AK:$AK,"=Thomasnet")</f>
        <v>0</v>
      </c>
      <c r="AA2">
        <f t="shared" ref="AA2:AA33" si="12">SUM(W2:Z2)</f>
        <v>0</v>
      </c>
      <c r="AB2">
        <f>COUNTIFS('Quote Log'!$B:$B,"&lt;&gt;VOID",'Quote Log'!$B:$B,"&lt;&gt;Requoted",'Quote Log'!$C:$C,"&gt;="&amp;DATE(2021,1,1),'Quote Log'!$C:$C,"&lt;="&amp;DATE(2021,1,31),'Quote Log'!$AK:$AK,"=Phone Call")</f>
        <v>0</v>
      </c>
      <c r="AC2">
        <f>COUNTIFS('Quote Log'!$B:$B,"&lt;&gt;VOID",'Quote Log'!$B:$B,"&lt;&gt;Requoted",'Quote Log'!$C:$C,"&gt;="&amp;DATE(2021,1,1),'Quote Log'!$C:$C,"&lt;="&amp;DATE(2021,1,31),'Quote Log'!$AK:$AK,"=Trade Show")</f>
        <v>0</v>
      </c>
      <c r="AD2">
        <f>COUNTIFS('Quote Log'!$B:$B,"&lt;&gt;VOID",'Quote Log'!$B:$B,"&lt;&gt;Requoted",'Quote Log'!$C:$C,"&gt;="&amp;DATE(2021,1,1),'Quote Log'!$C:$C,"&lt;="&amp;DATE(2021,1,31),'Quote Log'!$AK:$AK,"=Referral")</f>
        <v>0</v>
      </c>
      <c r="AE2" s="350" t="e">
        <f t="shared" ref="AE2:AE13" si="13">IF($AO$2,W2,NA())</f>
        <v>#N/A</v>
      </c>
      <c r="AF2">
        <f>COUNTIFS('Quote Log'!$B:$B,"&lt;&gt;VOID",'Quote Log'!$B:$B,"&lt;&gt;",'Quote Log'!$B:$B,"&lt;&gt;Cathy",'Quote Log'!$B:$B,"&lt;&gt;Larry",'Quote Log'!$B:$B,"&lt;&gt;LOST",'Quote Log'!$B:$B,"&lt;&gt;Purchased",'Quote Log'!$B:$B,"&lt;&gt;Max",'Quote Log'!$B:$B,"&lt;&gt;Quote Sent",'Quote Log'!$B:$B,"&lt;&gt;ISSUE",'Quote Log'!$B:$B,"&lt;&gt;Requoted",'Quote Log'!$C:$C,"&gt;="&amp;DATE(2021,1,1),'Quote Log'!$C:$C,"&lt;="&amp;DATE(2021,1,31))</f>
        <v>0</v>
      </c>
      <c r="AG2" s="350" t="e">
        <f t="shared" ref="AG2:AG13" si="14">IF($AO$2,AF2,NA())</f>
        <v>#N/A</v>
      </c>
      <c r="AH2" s="358">
        <f>SUMIFS('Quote Log'!$AB:$AB,'Quote Log'!$B:$B,"=Quote Sent",'Quote Log'!$C:$C,"&gt;="&amp;DATE(2021,1,1),'Quote Log'!$C:$C,"&lt;="&amp;DATE(2021,1,31),'Quote Log'!$AB:$AB,"&lt;&gt;#VALUE!")</f>
        <v>0</v>
      </c>
      <c r="AI2" s="358" t="e">
        <f t="shared" ref="AI2:AI13" si="15">IF($AO$2,AH2,NA())</f>
        <v>#N/A</v>
      </c>
      <c r="AJ2" s="358">
        <f>SUMIFS('Quote Log'!$AB:$AB,'Quote Log'!$B:$B,"=LOST",'Quote Log'!$C:$C,"&gt;="&amp;DATE(2021,1,1),'Quote Log'!$C:$C,"&lt;="&amp;DATE(2021,1,31),'Quote Log'!$AB:$AB,"&lt;&gt;#VALUE!")</f>
        <v>0</v>
      </c>
      <c r="AK2" s="358" t="e">
        <f t="shared" ref="AK2:AK13" si="16">IF($AO$2,AJ2,NA())</f>
        <v>#N/A</v>
      </c>
      <c r="AM2" s="339" t="b">
        <v>1</v>
      </c>
      <c r="AN2">
        <v>2021</v>
      </c>
      <c r="AO2" s="340" t="b">
        <v>0</v>
      </c>
      <c r="AZ2" t="s">
        <v>1531</v>
      </c>
    </row>
    <row r="3" spans="1:63" ht="15.75" thickBot="1" x14ac:dyDescent="0.3">
      <c r="A3" s="338">
        <v>44228</v>
      </c>
      <c r="B3">
        <f>COUNTIFS('Quote Log'!$B:$B,"&lt;&gt;VOID",'Quote Log'!$B:$B,"&lt;&gt;Requoted",'Quote Log'!$C:$C,"&gt;="&amp;DATE(2021,2,1),'Quote Log'!$C:$C,"&lt;="&amp;DATE(2021,2,28),'Quote Log'!$B:$B,"&lt;&gt;VOID",'Quote Log'!$B:$B,"&lt;&gt;Requoted")</f>
        <v>0</v>
      </c>
      <c r="C3" t="e">
        <f t="shared" si="0"/>
        <v>#N/A</v>
      </c>
      <c r="D3">
        <f>COUNTIFS('Quote Log'!$B:$B,"&lt;&gt;VOID",'Quote Log'!$B:$B,"&lt;&gt;Requoted",'Quote Log'!$H:$H,"&gt;="&amp;DATE(2021,2,1),'Quote Log'!$H:$H,"&lt;="&amp;DATE(2021,2,28))</f>
        <v>0</v>
      </c>
      <c r="E3" t="e">
        <f t="shared" si="1"/>
        <v>#N/A</v>
      </c>
      <c r="F3" t="e">
        <f t="shared" si="2"/>
        <v>#N/A</v>
      </c>
      <c r="G3">
        <f>COUNTIFS('Quote Log'!$C:$C,"&gt;="&amp;DATE(2021,2,1),'Quote Log'!$C:$C,"&lt;="&amp;DATE(2021,2,28),'Quote Log'!$B:$B,"=Purchased")</f>
        <v>0</v>
      </c>
      <c r="H3" s="350" t="e">
        <f t="shared" si="3"/>
        <v>#N/A</v>
      </c>
      <c r="I3" s="349" t="e">
        <f t="shared" si="4"/>
        <v>#DIV/0!</v>
      </c>
      <c r="J3" s="349" t="e">
        <f t="shared" si="5"/>
        <v>#N/A</v>
      </c>
      <c r="K3">
        <f>COUNTIFS('Quote Log'!$C:$C,"&gt;="&amp;DATE(2021,2,1),'Quote Log'!$C:$C,"&lt;="&amp;DATE(2021,2,28),'Quote Log'!$B:$B,"=LOST")</f>
        <v>0</v>
      </c>
      <c r="L3">
        <f>COUNTIFS('Quote Log'!$B:$B,"&lt;&gt;VOID",'Quote Log'!$B:$B,"&lt;&gt;Requoted",'Quote Log'!$C:$C,"&gt;="&amp;DATE(2021,2,1),'Quote Log'!$C:$C,"&lt;="&amp;DATE(2021,2,28),'Quote Log'!$V:$V,"=new")</f>
        <v>0</v>
      </c>
      <c r="M3" s="349" t="e">
        <f t="shared" si="6"/>
        <v>#DIV/0!</v>
      </c>
      <c r="N3" s="339" t="e">
        <f t="shared" si="7"/>
        <v>#N/A</v>
      </c>
      <c r="O3" s="358">
        <f>SUMIFS('Quote Log'!$AB:$AB,'Quote Log'!$C:$C,"&gt;="&amp;DATE(2021,2,1),'Quote Log'!$C:$C,"&lt;="&amp;DATE(2021,2,28),'Quote Log'!$B:$B,"=Purchased",'Quote Log'!$AB:$AB,"&lt;&gt;#VALUE!")</f>
        <v>0</v>
      </c>
      <c r="P3" s="358" t="e">
        <f t="shared" si="8"/>
        <v>#N/A</v>
      </c>
      <c r="Q3" s="358" t="e">
        <f>NA()</f>
        <v>#N/A</v>
      </c>
      <c r="R3" s="349" t="e">
        <f t="shared" si="9"/>
        <v>#N/A</v>
      </c>
      <c r="S3" s="358">
        <f>SUMIFS('Quote Log'!$AB:$AB,'Quote Log'!$C:$C,"&gt;="&amp;DATE(2021,2,1),'Quote Log'!$C:$C,"&lt;="&amp;DATE(2021,2,28),'Quote Log'!$B:$B,"=Purchased",'Quote Log'!$AB:$AB,"&lt;&gt;#VALUE!")+S2</f>
        <v>0</v>
      </c>
      <c r="T3" s="358" t="e">
        <f t="shared" si="10"/>
        <v>#N/A</v>
      </c>
      <c r="U3" s="349" t="e">
        <f>NA()</f>
        <v>#N/A</v>
      </c>
      <c r="V3" s="349" t="e">
        <f t="shared" si="11"/>
        <v>#N/A</v>
      </c>
      <c r="W3">
        <f>COUNTIFS('Quote Log'!$B:$B,"&lt;&gt;VOID",'Quote Log'!$B:$B,"&lt;&gt;Requoted",'Quote Log'!$C:$C,"&gt;="&amp;DATE(2021,2,1),'Quote Log'!$C:$C,"&lt;="&amp;DATE(2021,2,28),'Quote Log'!$AK:$AK,"=Web Unknown")</f>
        <v>0</v>
      </c>
      <c r="X3">
        <f>COUNTIFS('Quote Log'!$B:$B,"&lt;&gt;VOID",'Quote Log'!$B:$B,"&lt;&gt;Requoted",'Quote Log'!$C:$C,"&gt;="&amp;DATE(2021,2,1),'Quote Log'!$C:$C,"&lt;="&amp;DATE(2021,2,28),'Quote Log'!$AK:$AK,"=Google")</f>
        <v>0</v>
      </c>
      <c r="Y3">
        <f>COUNTIFS('Quote Log'!$B:$B,"&lt;&gt;VOID",'Quote Log'!$B:$B,"&lt;&gt;Requoted",'Quote Log'!$C:$C,"&gt;="&amp;DATE(2021,2,1),'Quote Log'!$C:$C,"&lt;="&amp;DATE(2021,2,28),'Quote Log'!$AK:$AK,"=Linked-In")</f>
        <v>0</v>
      </c>
      <c r="Z3">
        <f>COUNTIFS('Quote Log'!$B:$B,"&lt;&gt;VOID",'Quote Log'!$B:$B,"&lt;&gt;Requoted",'Quote Log'!$C:$C,"&gt;="&amp;DATE(2021,2,1),'Quote Log'!$C:$C,"&lt;="&amp;DATE(2021,2,28),'Quote Log'!$AK:$AK,"=Thomasnet")</f>
        <v>0</v>
      </c>
      <c r="AA3">
        <f t="shared" si="12"/>
        <v>0</v>
      </c>
      <c r="AB3">
        <f>COUNTIFS('Quote Log'!$B:$B,"&lt;&gt;VOID",'Quote Log'!$B:$B,"&lt;&gt;Requoted",'Quote Log'!$C:$C,"&gt;="&amp;DATE(2021,2,1),'Quote Log'!$C:$C,"&lt;="&amp;DATE(2021,2,28),'Quote Log'!$AK:$AK,"=Phone Call")</f>
        <v>0</v>
      </c>
      <c r="AC3">
        <f>COUNTIFS('Quote Log'!$B:$B,"&lt;&gt;VOID",'Quote Log'!$B:$B,"&lt;&gt;Requoted",'Quote Log'!$C:$C,"&gt;="&amp;DATE(2021,2,1),'Quote Log'!$C:$C,"&lt;="&amp;DATE(2021,2,28),'Quote Log'!$AK:$AK,"=Trade Show")</f>
        <v>0</v>
      </c>
      <c r="AD3">
        <f>COUNTIFS('Quote Log'!$B:$B,"&lt;&gt;VOID",'Quote Log'!$B:$B,"&lt;&gt;Requoted",'Quote Log'!$C:$C,"&gt;="&amp;DATE(2021,2,1),'Quote Log'!$C:$C,"&lt;="&amp;DATE(2021,2,28),'Quote Log'!$AK:$AK,"=Referral")</f>
        <v>0</v>
      </c>
      <c r="AE3" s="350" t="e">
        <f t="shared" si="13"/>
        <v>#N/A</v>
      </c>
      <c r="AF3">
        <f>COUNTIFS('Quote Log'!$B:$B,"&lt;&gt;VOID",'Quote Log'!$B:$B,"&lt;&gt;",'Quote Log'!$B:$B,"&lt;&gt;Cathy",'Quote Log'!$B:$B,"&lt;&gt;Larry",'Quote Log'!$B:$B,"&lt;&gt;LOST",'Quote Log'!$B:$B,"&lt;&gt;Purchased",'Quote Log'!$B:$B,"&lt;&gt;Max",'Quote Log'!$B:$B,"&lt;&gt;Quote Sent",'Quote Log'!$B:$B,"&lt;&gt;ISSUE",'Quote Log'!$B:$B,"&lt;&gt;Requoted",'Quote Log'!$C:$C,"&gt;="&amp;DATE(2021,2,1),'Quote Log'!$C:$C,"&lt;="&amp;DATE(2021,2,28))</f>
        <v>0</v>
      </c>
      <c r="AG3" s="350" t="e">
        <f t="shared" si="14"/>
        <v>#N/A</v>
      </c>
      <c r="AH3" s="358">
        <f>SUMIFS('Quote Log'!$AB:$AB,'Quote Log'!$B:$B,"=Quote Sent",'Quote Log'!$C:$C,"&gt;="&amp;DATE(2021,2,1),'Quote Log'!$C:$C,"&lt;="&amp;DATE(2021,2,28),'Quote Log'!$AB:$AB,"&lt;&gt;#VALUE!")</f>
        <v>0</v>
      </c>
      <c r="AI3" s="358" t="e">
        <f t="shared" si="15"/>
        <v>#N/A</v>
      </c>
      <c r="AJ3" s="358">
        <f>SUMIFS('Quote Log'!$AB:$AB,'Quote Log'!$B:$B,"=LOST",'Quote Log'!$C:$C,"&gt;="&amp;DATE(2021,2,1),'Quote Log'!$C:$C,"&lt;="&amp;DATE(2021,2,28),'Quote Log'!$AB:$AB,"&lt;&gt;#VALUE!")</f>
        <v>0</v>
      </c>
      <c r="AK3" s="358" t="e">
        <f t="shared" si="16"/>
        <v>#N/A</v>
      </c>
      <c r="AM3" s="339" t="b">
        <v>0</v>
      </c>
      <c r="AN3">
        <v>2022</v>
      </c>
      <c r="AO3" s="340" t="b">
        <v>0</v>
      </c>
      <c r="AZ3" t="s">
        <v>1532</v>
      </c>
    </row>
    <row r="4" spans="1:63" ht="15.75" thickBot="1" x14ac:dyDescent="0.3">
      <c r="A4" s="338">
        <v>44256</v>
      </c>
      <c r="B4">
        <f>COUNTIFS('Quote Log'!$B:$B,"&lt;&gt;VOID",'Quote Log'!$B:$B,"&lt;&gt;Requoted",'Quote Log'!$C:$C,"&gt;="&amp;DATE(2021,3,1),'Quote Log'!$C:$C,"&lt;="&amp;DATE(2021,3,31),'Quote Log'!$B:$B,"&lt;&gt;VOID",'Quote Log'!$B:$B,"&lt;&gt;Requoted")</f>
        <v>0</v>
      </c>
      <c r="C4" t="e">
        <f t="shared" si="0"/>
        <v>#N/A</v>
      </c>
      <c r="D4">
        <f>COUNTIFS('Quote Log'!$B:$B,"&lt;&gt;VOID",'Quote Log'!$B:$B,"&lt;&gt;Requoted",'Quote Log'!$H:$H,"&gt;="&amp;DATE(2021,3,1),'Quote Log'!$H:$H,"&lt;="&amp;DATE(2021,3,31))</f>
        <v>0</v>
      </c>
      <c r="E4" t="e">
        <f t="shared" si="1"/>
        <v>#N/A</v>
      </c>
      <c r="F4" t="e">
        <f t="shared" si="2"/>
        <v>#N/A</v>
      </c>
      <c r="G4">
        <f>COUNTIFS('Quote Log'!$C:$C,"&gt;="&amp;DATE(2021,3,1),'Quote Log'!$C:$C,"&lt;="&amp;DATE(2021,3,31),'Quote Log'!$B:$B,"=Purchased")</f>
        <v>0</v>
      </c>
      <c r="H4" s="350" t="e">
        <f t="shared" si="3"/>
        <v>#N/A</v>
      </c>
      <c r="I4" s="349" t="e">
        <f t="shared" si="4"/>
        <v>#DIV/0!</v>
      </c>
      <c r="J4" s="349" t="e">
        <f t="shared" si="5"/>
        <v>#N/A</v>
      </c>
      <c r="K4">
        <f>COUNTIFS('Quote Log'!$C:$C,"&gt;="&amp;DATE(2021,3,1),'Quote Log'!$C:$C,"&lt;="&amp;DATE(2021,3,31),'Quote Log'!$B:$B,"=LOST")</f>
        <v>0</v>
      </c>
      <c r="L4">
        <f>COUNTIFS('Quote Log'!$B:$B,"&lt;&gt;VOID",'Quote Log'!$B:$B,"&lt;&gt;Requoted",'Quote Log'!$C:$C,"&gt;="&amp;DATE(2021,3,1),'Quote Log'!$C:$C,"&lt;="&amp;DATE(2021,3,31),'Quote Log'!$V:$V,"=new")</f>
        <v>0</v>
      </c>
      <c r="M4" s="349" t="e">
        <f t="shared" si="6"/>
        <v>#DIV/0!</v>
      </c>
      <c r="N4" s="339" t="e">
        <f t="shared" si="7"/>
        <v>#N/A</v>
      </c>
      <c r="O4" s="358">
        <f>SUMIFS('Quote Log'!$AB:$AB,'Quote Log'!$C:$C,"&gt;="&amp;DATE(2021,3,1),'Quote Log'!$C:$C,"&lt;="&amp;DATE(2021,3,31),'Quote Log'!$B:$B,"=Purchased",'Quote Log'!$AB:$AB,"&lt;&gt;#VALUE!")</f>
        <v>0</v>
      </c>
      <c r="P4" s="358" t="e">
        <f t="shared" si="8"/>
        <v>#N/A</v>
      </c>
      <c r="Q4" s="358" t="e">
        <f>NA()</f>
        <v>#N/A</v>
      </c>
      <c r="R4" s="349" t="e">
        <f t="shared" si="9"/>
        <v>#N/A</v>
      </c>
      <c r="S4" s="358">
        <f>SUMIFS('Quote Log'!$AB:$AB,'Quote Log'!$C:$C,"&gt;="&amp;DATE(2021,3,1),'Quote Log'!$C:$C,"&lt;="&amp;DATE(2021,3,31),'Quote Log'!$B:$B,"=Purchased",'Quote Log'!$AB:$AB,"&lt;&gt;#VALUE!")+S3</f>
        <v>0</v>
      </c>
      <c r="T4" s="358" t="e">
        <f t="shared" si="10"/>
        <v>#N/A</v>
      </c>
      <c r="U4" s="349" t="e">
        <f>NA()</f>
        <v>#N/A</v>
      </c>
      <c r="V4" s="349" t="e">
        <f t="shared" si="11"/>
        <v>#N/A</v>
      </c>
      <c r="W4">
        <f>COUNTIFS('Quote Log'!$B:$B,"&lt;&gt;VOID",'Quote Log'!$B:$B,"&lt;&gt;Requoted",'Quote Log'!$C:$C,"&gt;="&amp;DATE(2021,3,1),'Quote Log'!$C:$C,"&lt;="&amp;DATE(2021,3,31),'Quote Log'!$AK:$AK,"=Web Unknown")</f>
        <v>0</v>
      </c>
      <c r="X4">
        <f>COUNTIFS('Quote Log'!$B:$B,"&lt;&gt;VOID",'Quote Log'!$B:$B,"&lt;&gt;Requoted",'Quote Log'!$C:$C,"&gt;="&amp;DATE(2021,3,1),'Quote Log'!$C:$C,"&lt;="&amp;DATE(2021,3,31),'Quote Log'!$AK:$AK,"=Google")</f>
        <v>0</v>
      </c>
      <c r="Y4">
        <f>COUNTIFS('Quote Log'!$B:$B,"&lt;&gt;VOID",'Quote Log'!$B:$B,"&lt;&gt;Requoted",'Quote Log'!$C:$C,"&gt;="&amp;DATE(2021,3,1),'Quote Log'!$C:$C,"&lt;="&amp;DATE(2021,3,31),'Quote Log'!$AK:$AK,"=Linked-In")</f>
        <v>0</v>
      </c>
      <c r="Z4">
        <f>COUNTIFS('Quote Log'!$B:$B,"&lt;&gt;VOID",'Quote Log'!$B:$B,"&lt;&gt;Requoted",'Quote Log'!$C:$C,"&gt;="&amp;DATE(2021,3,1),'Quote Log'!$C:$C,"&lt;="&amp;DATE(2021,3,31),'Quote Log'!$AK:$AK,"=Thomasnet")</f>
        <v>0</v>
      </c>
      <c r="AA4">
        <f t="shared" si="12"/>
        <v>0</v>
      </c>
      <c r="AB4">
        <f>COUNTIFS('Quote Log'!$B:$B,"&lt;&gt;VOID",'Quote Log'!$B:$B,"&lt;&gt;Requoted",'Quote Log'!$C:$C,"&gt;="&amp;DATE(2021,3,1),'Quote Log'!$C:$C,"&lt;="&amp;DATE(2021,3,31),'Quote Log'!$AK:$AK,"=Phone Call")</f>
        <v>0</v>
      </c>
      <c r="AC4">
        <f>COUNTIFS('Quote Log'!$B:$B,"&lt;&gt;VOID",'Quote Log'!$B:$B,"&lt;&gt;Requoted",'Quote Log'!$C:$C,"&gt;="&amp;DATE(2021,3,1),'Quote Log'!$C:$C,"&lt;="&amp;DATE(2021,3,31),'Quote Log'!$AK:$AK,"=Trade Show")</f>
        <v>0</v>
      </c>
      <c r="AD4">
        <f>COUNTIFS('Quote Log'!$B:$B,"&lt;&gt;VOID",'Quote Log'!$B:$B,"&lt;&gt;Requoted",'Quote Log'!$C:$C,"&gt;="&amp;DATE(2021,3,1),'Quote Log'!$C:$C,"&lt;="&amp;DATE(2021,3,31),'Quote Log'!$AK:$AK,"=Referral")</f>
        <v>0</v>
      </c>
      <c r="AE4" s="350" t="e">
        <f t="shared" si="13"/>
        <v>#N/A</v>
      </c>
      <c r="AF4">
        <f>COUNTIFS('Quote Log'!$B:$B,"&lt;&gt;VOID",'Quote Log'!$B:$B,"&lt;&gt;",'Quote Log'!$B:$B,"&lt;&gt;Cathy",'Quote Log'!$B:$B,"&lt;&gt;Larry",'Quote Log'!$B:$B,"&lt;&gt;LOST",'Quote Log'!$B:$B,"&lt;&gt;Purchased",'Quote Log'!$B:$B,"&lt;&gt;Max",'Quote Log'!$B:$B,"&lt;&gt;Quote Sent",'Quote Log'!$B:$B,"&lt;&gt;ISSUE",'Quote Log'!$B:$B,"&lt;&gt;Requoted",'Quote Log'!$C:$C,"&gt;="&amp;DATE(2021,3,1),'Quote Log'!$C:$C,"&lt;="&amp;DATE(2021,3,31))</f>
        <v>0</v>
      </c>
      <c r="AG4" s="350" t="e">
        <f t="shared" si="14"/>
        <v>#N/A</v>
      </c>
      <c r="AH4" s="358">
        <f>SUMIFS('Quote Log'!$AB:$AB,'Quote Log'!$B:$B,"=Quote Sent",'Quote Log'!$C:$C,"&gt;="&amp;DATE(2021,3,1),'Quote Log'!$C:$C,"&lt;="&amp;DATE(2021,3,31),'Quote Log'!$AB:$AB,"&lt;&gt;#VALUE!")</f>
        <v>0</v>
      </c>
      <c r="AI4" s="358" t="e">
        <f t="shared" si="15"/>
        <v>#N/A</v>
      </c>
      <c r="AJ4" s="358">
        <f>SUMIFS('Quote Log'!$AB:$AB,'Quote Log'!$B:$B,"=LOST",'Quote Log'!$C:$C,"&gt;="&amp;DATE(2021,3,1),'Quote Log'!$C:$C,"&lt;="&amp;DATE(2021,3,31),'Quote Log'!$AB:$AB,"&lt;&gt;#VALUE!")</f>
        <v>0</v>
      </c>
      <c r="AK4" s="358" t="e">
        <f t="shared" si="16"/>
        <v>#N/A</v>
      </c>
      <c r="AM4" s="339"/>
      <c r="AN4">
        <v>2023</v>
      </c>
      <c r="AO4" s="340" t="b">
        <v>1</v>
      </c>
      <c r="AZ4" t="s">
        <v>1533</v>
      </c>
      <c r="BJ4" s="370" t="s">
        <v>1534</v>
      </c>
      <c r="BK4" s="371">
        <f>SUMIFS('Quote Log'!$AB:$AB,'Quote Log'!$B:$B,"=Purchased",'Quote Log'!$AG:$AG,"&gt;="&amp;DATE(2025,5,31),'Quote Log'!$AB:$AB,"&lt;&gt;#VALUE!")</f>
        <v>26548</v>
      </c>
    </row>
    <row r="5" spans="1:63" x14ac:dyDescent="0.25">
      <c r="A5" s="338">
        <v>44287</v>
      </c>
      <c r="B5">
        <f>COUNTIFS('Quote Log'!$B:$B,"&lt;&gt;VOID",'Quote Log'!$B:$B,"&lt;&gt;Requoted",'Quote Log'!$C:$C,"&gt;="&amp;DATE(2021,4,1),'Quote Log'!$C:$C,"&lt;="&amp;DATE(2021,4,30),'Quote Log'!$B:$B,"&lt;&gt;VOID",'Quote Log'!$B:$B,"&lt;&gt;Requoted")</f>
        <v>0</v>
      </c>
      <c r="C5" t="e">
        <f t="shared" si="0"/>
        <v>#N/A</v>
      </c>
      <c r="D5">
        <f>COUNTIFS('Quote Log'!$B:$B,"&lt;&gt;VOID",'Quote Log'!$B:$B,"&lt;&gt;Requoted",'Quote Log'!$H:$H,"&gt;="&amp;DATE(2021,4,1),'Quote Log'!$H:$H,"&lt;="&amp;DATE(2021,4,30))</f>
        <v>0</v>
      </c>
      <c r="E5" t="e">
        <f t="shared" si="1"/>
        <v>#N/A</v>
      </c>
      <c r="F5" t="e">
        <f t="shared" si="2"/>
        <v>#N/A</v>
      </c>
      <c r="G5">
        <f>COUNTIFS('Quote Log'!$C:$C,"&gt;="&amp;DATE(2021,4,1),'Quote Log'!$C:$C,"&lt;="&amp;DATE(2021,4,30),'Quote Log'!$B:$B,"=Purchased")</f>
        <v>0</v>
      </c>
      <c r="H5" s="350" t="e">
        <f t="shared" si="3"/>
        <v>#N/A</v>
      </c>
      <c r="I5" s="349" t="e">
        <f t="shared" si="4"/>
        <v>#DIV/0!</v>
      </c>
      <c r="J5" s="349" t="e">
        <f t="shared" si="5"/>
        <v>#N/A</v>
      </c>
      <c r="K5">
        <f>COUNTIFS('Quote Log'!$C:$C,"&gt;="&amp;DATE(2021,4,1),'Quote Log'!$C:$C,"&lt;="&amp;DATE(2021,4,30),'Quote Log'!$B:$B,"=LOST")</f>
        <v>0</v>
      </c>
      <c r="L5">
        <f>COUNTIFS('Quote Log'!$B:$B,"&lt;&gt;VOID",'Quote Log'!$B:$B,"&lt;&gt;Requoted",'Quote Log'!$C:$C,"&gt;="&amp;DATE(2021,4,1),'Quote Log'!$C:$C,"&lt;="&amp;DATE(2021,4,30),'Quote Log'!$V:$V,"=new")</f>
        <v>0</v>
      </c>
      <c r="M5" s="349" t="e">
        <f t="shared" si="6"/>
        <v>#DIV/0!</v>
      </c>
      <c r="N5" s="339" t="e">
        <f t="shared" si="7"/>
        <v>#N/A</v>
      </c>
      <c r="O5" s="358">
        <f>SUMIFS('Quote Log'!$AB:$AB,'Quote Log'!$C:$C,"&gt;="&amp;DATE(2021,4,1),'Quote Log'!$C:$C,"&lt;="&amp;DATE(2021,4,30),'Quote Log'!$B:$B,"=Purchased",'Quote Log'!$AB:$AB,"&lt;&gt;#VALUE!")</f>
        <v>0</v>
      </c>
      <c r="P5" s="358" t="e">
        <f t="shared" si="8"/>
        <v>#N/A</v>
      </c>
      <c r="Q5" s="358" t="e">
        <f>NA()</f>
        <v>#N/A</v>
      </c>
      <c r="R5" s="349" t="e">
        <f t="shared" si="9"/>
        <v>#N/A</v>
      </c>
      <c r="S5" s="358">
        <f>SUMIFS('Quote Log'!$AB:$AB,'Quote Log'!$C:$C,"&gt;="&amp;DATE(2021,4,1),'Quote Log'!$C:$C,"&lt;="&amp;DATE(2021,4,30),'Quote Log'!$B:$B,"=Purchased",'Quote Log'!$AB:$AB,"&lt;&gt;#VALUE!")+S4</f>
        <v>0</v>
      </c>
      <c r="T5" s="358" t="e">
        <f t="shared" si="10"/>
        <v>#N/A</v>
      </c>
      <c r="U5" s="349" t="e">
        <f>NA()</f>
        <v>#N/A</v>
      </c>
      <c r="V5" s="349" t="e">
        <f t="shared" si="11"/>
        <v>#N/A</v>
      </c>
      <c r="W5">
        <f>COUNTIFS('Quote Log'!$B:$B,"&lt;&gt;VOID",'Quote Log'!$B:$B,"&lt;&gt;Requoted",'Quote Log'!$C:$C,"&gt;="&amp;DATE(2021,4,1),'Quote Log'!$C:$C,"&lt;="&amp;DATE(2021,4,30),'Quote Log'!$AK:$AK,"=Web Unknown")</f>
        <v>0</v>
      </c>
      <c r="X5">
        <f>COUNTIFS('Quote Log'!$B:$B,"&lt;&gt;VOID",'Quote Log'!$B:$B,"&lt;&gt;Requoted",'Quote Log'!$C:$C,"&gt;="&amp;DATE(2021,4,1),'Quote Log'!$C:$C,"&lt;="&amp;DATE(2021,4,30),'Quote Log'!$AK:$AK,"=Google")</f>
        <v>0</v>
      </c>
      <c r="Y5">
        <f>COUNTIFS('Quote Log'!$B:$B,"&lt;&gt;VOID",'Quote Log'!$B:$B,"&lt;&gt;Requoted",'Quote Log'!$C:$C,"&gt;="&amp;DATE(2021,4,1),'Quote Log'!$C:$C,"&lt;="&amp;DATE(2021,4,30),'Quote Log'!$AK:$AK,"=Linked-In")</f>
        <v>0</v>
      </c>
      <c r="Z5">
        <f>COUNTIFS('Quote Log'!$B:$B,"&lt;&gt;VOID",'Quote Log'!$B:$B,"&lt;&gt;Requoted",'Quote Log'!$C:$C,"&gt;="&amp;DATE(2021,4,1),'Quote Log'!$C:$C,"&lt;="&amp;DATE(2021,4,30),'Quote Log'!$AK:$AK,"=Thomasnet")</f>
        <v>0</v>
      </c>
      <c r="AA5">
        <f t="shared" si="12"/>
        <v>0</v>
      </c>
      <c r="AB5">
        <f>COUNTIFS('Quote Log'!$B:$B,"&lt;&gt;VOID",'Quote Log'!$B:$B,"&lt;&gt;Requoted",'Quote Log'!$C:$C,"&gt;="&amp;DATE(2021,4,1),'Quote Log'!$C:$C,"&lt;="&amp;DATE(2021,4,30),'Quote Log'!$AK:$AK,"=Phone Call")</f>
        <v>0</v>
      </c>
      <c r="AC5">
        <f>COUNTIFS('Quote Log'!$B:$B,"&lt;&gt;VOID",'Quote Log'!$B:$B,"&lt;&gt;Requoted",'Quote Log'!$C:$C,"&gt;="&amp;DATE(2021,4,1),'Quote Log'!$C:$C,"&lt;="&amp;DATE(2021,4,30),'Quote Log'!$AK:$AK,"=Trade Show")</f>
        <v>0</v>
      </c>
      <c r="AD5">
        <f>COUNTIFS('Quote Log'!$B:$B,"&lt;&gt;VOID",'Quote Log'!$B:$B,"&lt;&gt;Requoted",'Quote Log'!$C:$C,"&gt;="&amp;DATE(2021,4,1),'Quote Log'!$C:$C,"&lt;="&amp;DATE(2021,4,30),'Quote Log'!$AK:$AK,"=Referral")</f>
        <v>0</v>
      </c>
      <c r="AE5" s="350" t="e">
        <f t="shared" si="13"/>
        <v>#N/A</v>
      </c>
      <c r="AF5">
        <f>COUNTIFS('Quote Log'!$B:$B,"&lt;&gt;VOID",'Quote Log'!$B:$B,"&lt;&gt;",'Quote Log'!$B:$B,"&lt;&gt;Cathy",'Quote Log'!$B:$B,"&lt;&gt;Larry",'Quote Log'!$B:$B,"&lt;&gt;LOST",'Quote Log'!$B:$B,"&lt;&gt;Purchased",'Quote Log'!$B:$B,"&lt;&gt;Max",'Quote Log'!$B:$B,"&lt;&gt;Quote Sent",'Quote Log'!$B:$B,"&lt;&gt;ISSUE",'Quote Log'!$B:$B,"&lt;&gt;Requoted",'Quote Log'!$C:$C,"&gt;="&amp;DATE(2021,4,1),'Quote Log'!$C:$C,"&lt;="&amp;DATE(2021,4,30))</f>
        <v>0</v>
      </c>
      <c r="AG5" s="350" t="e">
        <f t="shared" si="14"/>
        <v>#N/A</v>
      </c>
      <c r="AH5" s="358">
        <f>SUMIFS('Quote Log'!$AB:$AB,'Quote Log'!$B:$B,"=Quote Sent",'Quote Log'!$C:$C,"&gt;="&amp;DATE(2021,4,1),'Quote Log'!$C:$C,"&lt;="&amp;DATE(2021,4,30),'Quote Log'!$AB:$AB,"&lt;&gt;#VALUE!")</f>
        <v>0</v>
      </c>
      <c r="AI5" s="358" t="e">
        <f t="shared" si="15"/>
        <v>#N/A</v>
      </c>
      <c r="AJ5" s="358">
        <f>SUMIFS('Quote Log'!$AB:$AB,'Quote Log'!$B:$B,"=LOST",'Quote Log'!$C:$C,"&gt;="&amp;DATE(2021,4,1),'Quote Log'!$C:$C,"&lt;="&amp;DATE(2021,4,30),'Quote Log'!$AB:$AB,"&lt;&gt;#VALUE!")</f>
        <v>0</v>
      </c>
      <c r="AK5" s="358" t="e">
        <f t="shared" si="16"/>
        <v>#N/A</v>
      </c>
      <c r="AM5" s="339"/>
      <c r="AN5">
        <v>2024</v>
      </c>
      <c r="AO5" s="340" t="b">
        <v>1</v>
      </c>
      <c r="AZ5" t="s">
        <v>354</v>
      </c>
    </row>
    <row r="6" spans="1:63" x14ac:dyDescent="0.25">
      <c r="A6" s="338">
        <v>44317</v>
      </c>
      <c r="B6">
        <f>COUNTIFS('Quote Log'!$B:$B,"&lt;&gt;VOID",'Quote Log'!$B:$B,"&lt;&gt;Requoted",'Quote Log'!$C:$C,"&gt;="&amp;DATE(2021,5,1),'Quote Log'!$C:$C,"&lt;="&amp;DATE(2021,5,31),'Quote Log'!$B:$B,"&lt;&gt;VOID",'Quote Log'!$B:$B,"&lt;&gt;Requoted")</f>
        <v>0</v>
      </c>
      <c r="C6" t="e">
        <f t="shared" si="0"/>
        <v>#N/A</v>
      </c>
      <c r="D6">
        <f>COUNTIFS('Quote Log'!$B:$B,"&lt;&gt;VOID",'Quote Log'!$B:$B,"&lt;&gt;Requoted",'Quote Log'!$H:$H,"&gt;="&amp;DATE(2021,5,1),'Quote Log'!$H:$H,"&lt;="&amp;DATE(2021,5,31))</f>
        <v>0</v>
      </c>
      <c r="E6" t="e">
        <f t="shared" si="1"/>
        <v>#N/A</v>
      </c>
      <c r="F6" t="e">
        <f t="shared" si="2"/>
        <v>#N/A</v>
      </c>
      <c r="G6">
        <f>COUNTIFS('Quote Log'!$C:$C,"&gt;="&amp;DATE(2021,5,1),'Quote Log'!$C:$C,"&lt;="&amp;DATE(2021,5,31),'Quote Log'!$B:$B,"=Purchased")</f>
        <v>0</v>
      </c>
      <c r="H6" s="350" t="e">
        <f t="shared" si="3"/>
        <v>#N/A</v>
      </c>
      <c r="I6" s="349" t="e">
        <f t="shared" si="4"/>
        <v>#DIV/0!</v>
      </c>
      <c r="J6" s="349" t="e">
        <f t="shared" si="5"/>
        <v>#N/A</v>
      </c>
      <c r="K6">
        <f>COUNTIFS('Quote Log'!$C:$C,"&gt;="&amp;DATE(2021,5,1),'Quote Log'!$C:$C,"&lt;="&amp;DATE(2021,5,31),'Quote Log'!$B:$B,"=LOST")</f>
        <v>0</v>
      </c>
      <c r="L6">
        <f>COUNTIFS('Quote Log'!$B:$B,"&lt;&gt;VOID",'Quote Log'!$B:$B,"&lt;&gt;Requoted",'Quote Log'!$C:$C,"&gt;="&amp;DATE(2021,5,1),'Quote Log'!$C:$C,"&lt;="&amp;DATE(2021,5,31),'Quote Log'!$V:$V,"=new")</f>
        <v>0</v>
      </c>
      <c r="M6" s="349" t="e">
        <f t="shared" si="6"/>
        <v>#DIV/0!</v>
      </c>
      <c r="N6" s="339" t="e">
        <f t="shared" si="7"/>
        <v>#N/A</v>
      </c>
      <c r="O6" s="358">
        <f>SUMIFS('Quote Log'!$AB:$AB,'Quote Log'!$C:$C,"&gt;="&amp;DATE(2021,5,1),'Quote Log'!$C:$C,"&lt;="&amp;DATE(2021,5,31),'Quote Log'!$B:$B,"=Purchased",'Quote Log'!$AB:$AB,"&lt;&gt;#VALUE!")</f>
        <v>0</v>
      </c>
      <c r="P6" s="358" t="e">
        <f t="shared" si="8"/>
        <v>#N/A</v>
      </c>
      <c r="Q6" s="358" t="e">
        <f>NA()</f>
        <v>#N/A</v>
      </c>
      <c r="R6" s="349" t="e">
        <f t="shared" si="9"/>
        <v>#N/A</v>
      </c>
      <c r="S6" s="358">
        <f>SUMIFS('Quote Log'!$AB:$AB,'Quote Log'!$C:$C,"&gt;="&amp;DATE(2021,5,1),'Quote Log'!$C:$C,"&lt;="&amp;DATE(2021,5,31),'Quote Log'!$B:$B,"=Purchased",'Quote Log'!$AB:$AB,"&lt;&gt;#VALUE!")+S5</f>
        <v>0</v>
      </c>
      <c r="T6" s="358" t="e">
        <f t="shared" si="10"/>
        <v>#N/A</v>
      </c>
      <c r="U6" s="349" t="e">
        <f>NA()</f>
        <v>#N/A</v>
      </c>
      <c r="V6" s="349" t="e">
        <f t="shared" si="11"/>
        <v>#N/A</v>
      </c>
      <c r="W6">
        <f>COUNTIFS('Quote Log'!$B:$B,"&lt;&gt;VOID",'Quote Log'!$B:$B,"&lt;&gt;Requoted",'Quote Log'!$C:$C,"&gt;="&amp;DATE(2021,5,1),'Quote Log'!$C:$C,"&lt;="&amp;DATE(2021,5,31),'Quote Log'!$AK:$AK,"=Web Unknown")</f>
        <v>0</v>
      </c>
      <c r="X6">
        <f>COUNTIFS('Quote Log'!$B:$B,"&lt;&gt;VOID",'Quote Log'!$B:$B,"&lt;&gt;Requoted",'Quote Log'!$C:$C,"&gt;="&amp;DATE(2021,5,1),'Quote Log'!$C:$C,"&lt;="&amp;DATE(2021,5,31),'Quote Log'!$AK:$AK,"=Google")</f>
        <v>0</v>
      </c>
      <c r="Y6">
        <f>COUNTIFS('Quote Log'!$B:$B,"&lt;&gt;VOID",'Quote Log'!$B:$B,"&lt;&gt;Requoted",'Quote Log'!$C:$C,"&gt;="&amp;DATE(2021,5,1),'Quote Log'!$C:$C,"&lt;="&amp;DATE(2021,5,31),'Quote Log'!$AK:$AK,"=Linked-In")</f>
        <v>0</v>
      </c>
      <c r="Z6">
        <f>COUNTIFS('Quote Log'!$B:$B,"&lt;&gt;VOID",'Quote Log'!$B:$B,"&lt;&gt;Requoted",'Quote Log'!$C:$C,"&gt;="&amp;DATE(2021,5,1),'Quote Log'!$C:$C,"&lt;="&amp;DATE(2021,5,31),'Quote Log'!$AK:$AK,"=Thomasnet")</f>
        <v>0</v>
      </c>
      <c r="AA6">
        <f t="shared" si="12"/>
        <v>0</v>
      </c>
      <c r="AB6">
        <f>COUNTIFS('Quote Log'!$B:$B,"&lt;&gt;VOID",'Quote Log'!$B:$B,"&lt;&gt;Requoted",'Quote Log'!$C:$C,"&gt;="&amp;DATE(2021,5,1),'Quote Log'!$C:$C,"&lt;="&amp;DATE(2021,5,31),'Quote Log'!$AK:$AK,"=Phone Call")</f>
        <v>0</v>
      </c>
      <c r="AC6">
        <f>COUNTIFS('Quote Log'!$B:$B,"&lt;&gt;VOID",'Quote Log'!$B:$B,"&lt;&gt;Requoted",'Quote Log'!$C:$C,"&gt;="&amp;DATE(2021,5,1),'Quote Log'!$C:$C,"&lt;="&amp;DATE(2021,5,31),'Quote Log'!$AK:$AK,"=Trade Show")</f>
        <v>0</v>
      </c>
      <c r="AD6">
        <f>COUNTIFS('Quote Log'!$B:$B,"&lt;&gt;VOID",'Quote Log'!$B:$B,"&lt;&gt;Requoted",'Quote Log'!$C:$C,"&gt;="&amp;DATE(2021,5,1),'Quote Log'!$C:$C,"&lt;="&amp;DATE(2021,5,31),'Quote Log'!$AK:$AK,"=Referral")</f>
        <v>0</v>
      </c>
      <c r="AE6" s="350" t="e">
        <f t="shared" si="13"/>
        <v>#N/A</v>
      </c>
      <c r="AF6">
        <f>COUNTIFS('Quote Log'!$B:$B,"&lt;&gt;VOID",'Quote Log'!$B:$B,"&lt;&gt;",'Quote Log'!$B:$B,"&lt;&gt;Cathy",'Quote Log'!$B:$B,"&lt;&gt;Larry",'Quote Log'!$B:$B,"&lt;&gt;LOST",'Quote Log'!$B:$B,"&lt;&gt;Purchased",'Quote Log'!$B:$B,"&lt;&gt;Max",'Quote Log'!$B:$B,"&lt;&gt;Quote Sent",'Quote Log'!$B:$B,"&lt;&gt;ISSUE",'Quote Log'!$B:$B,"&lt;&gt;Requoted",'Quote Log'!$C:$C,"&gt;="&amp;DATE(2021,5,1),'Quote Log'!$C:$C,"&lt;="&amp;DATE(2021,5,31))</f>
        <v>0</v>
      </c>
      <c r="AG6" s="350" t="e">
        <f t="shared" si="14"/>
        <v>#N/A</v>
      </c>
      <c r="AH6" s="358">
        <f>SUMIFS('Quote Log'!$AB:$AB,'Quote Log'!$B:$B,"=Quote Sent",'Quote Log'!$C:$C,"&gt;="&amp;DATE(2021,5,1),'Quote Log'!$C:$C,"&lt;="&amp;DATE(2021,5,31),'Quote Log'!$AB:$AB,"&lt;&gt;#VALUE!")</f>
        <v>0</v>
      </c>
      <c r="AI6" s="358" t="e">
        <f t="shared" si="15"/>
        <v>#N/A</v>
      </c>
      <c r="AJ6" s="358">
        <f>SUMIFS('Quote Log'!$AB:$AB,'Quote Log'!$B:$B,"=LOST",'Quote Log'!$C:$C,"&gt;="&amp;DATE(2021,5,1),'Quote Log'!$C:$C,"&lt;="&amp;DATE(2021,5,31),'Quote Log'!$AB:$AB,"&lt;&gt;#VALUE!")</f>
        <v>0</v>
      </c>
      <c r="AK6" s="358" t="e">
        <f t="shared" si="16"/>
        <v>#N/A</v>
      </c>
      <c r="AM6" s="339"/>
      <c r="AN6">
        <v>2025</v>
      </c>
      <c r="AO6" s="340" t="b">
        <v>0</v>
      </c>
      <c r="AZ6" t="s">
        <v>392</v>
      </c>
    </row>
    <row r="7" spans="1:63" x14ac:dyDescent="0.25">
      <c r="A7" s="338">
        <v>44348</v>
      </c>
      <c r="B7">
        <f>COUNTIFS('Quote Log'!$B:$B,"&lt;&gt;VOID",'Quote Log'!$B:$B,"&lt;&gt;Requoted",'Quote Log'!$C:$C,"&gt;="&amp;DATE(2021,6,1),'Quote Log'!$C:$C,"&lt;="&amp;DATE(2021,6,30),'Quote Log'!$B:$B,"&lt;&gt;VOID",'Quote Log'!$B:$B,"&lt;&gt;Requoted")</f>
        <v>0</v>
      </c>
      <c r="C7" t="e">
        <f t="shared" si="0"/>
        <v>#N/A</v>
      </c>
      <c r="D7">
        <f>COUNTIFS('Quote Log'!$B:$B,"&lt;&gt;VOID",'Quote Log'!$B:$B,"&lt;&gt;Requoted",'Quote Log'!$H:$H,"&gt;="&amp;DATE(2021,6,1),'Quote Log'!$H:$H,"&lt;="&amp;DATE(2021,6,30))</f>
        <v>0</v>
      </c>
      <c r="E7" t="e">
        <f t="shared" si="1"/>
        <v>#N/A</v>
      </c>
      <c r="F7" t="e">
        <f t="shared" si="2"/>
        <v>#N/A</v>
      </c>
      <c r="G7">
        <f>COUNTIFS('Quote Log'!$C:$C,"&gt;="&amp;DATE(2021,6,1),'Quote Log'!$C:$C,"&lt;="&amp;DATE(2021,6,30),'Quote Log'!$B:$B,"=Purchased")</f>
        <v>0</v>
      </c>
      <c r="H7" s="350" t="e">
        <f t="shared" si="3"/>
        <v>#N/A</v>
      </c>
      <c r="I7" s="349" t="e">
        <f t="shared" si="4"/>
        <v>#DIV/0!</v>
      </c>
      <c r="J7" s="349" t="e">
        <f t="shared" si="5"/>
        <v>#N/A</v>
      </c>
      <c r="K7">
        <f>COUNTIFS('Quote Log'!$C:$C,"&gt;="&amp;DATE(2021,6,1),'Quote Log'!$C:$C,"&lt;="&amp;DATE(2021,6,30),'Quote Log'!$B:$B,"=LOST")</f>
        <v>0</v>
      </c>
      <c r="L7">
        <f>COUNTIFS('Quote Log'!$B:$B,"&lt;&gt;VOID",'Quote Log'!$B:$B,"&lt;&gt;Requoted",'Quote Log'!$C:$C,"&gt;="&amp;DATE(2021,6,1),'Quote Log'!$C:$C,"&lt;="&amp;DATE(2021,6,30),'Quote Log'!$V:$V,"=new")</f>
        <v>0</v>
      </c>
      <c r="M7" s="349" t="e">
        <f t="shared" si="6"/>
        <v>#DIV/0!</v>
      </c>
      <c r="N7" s="339" t="e">
        <f t="shared" si="7"/>
        <v>#N/A</v>
      </c>
      <c r="O7" s="358">
        <f>SUMIFS('Quote Log'!$AB:$AB,'Quote Log'!$C:$C,"&gt;="&amp;DATE(2021,6,1),'Quote Log'!$C:$C,"&lt;="&amp;DATE(2021,6,30),'Quote Log'!$B:$B,"=Purchased",'Quote Log'!$AB:$AB,"&lt;&gt;#VALUE!")</f>
        <v>0</v>
      </c>
      <c r="P7" s="358" t="e">
        <f t="shared" si="8"/>
        <v>#N/A</v>
      </c>
      <c r="Q7" s="358" t="e">
        <f>NA()</f>
        <v>#N/A</v>
      </c>
      <c r="R7" s="349" t="e">
        <f t="shared" si="9"/>
        <v>#N/A</v>
      </c>
      <c r="S7" s="358">
        <f>SUMIFS('Quote Log'!$AB:$AB,'Quote Log'!$C:$C,"&gt;="&amp;DATE(2021,6,1),'Quote Log'!$C:$C,"&lt;="&amp;DATE(2021,6,30),'Quote Log'!$B:$B,"=Purchased",'Quote Log'!$AB:$AB,"&lt;&gt;#VALUE!")+S6</f>
        <v>0</v>
      </c>
      <c r="T7" s="358" t="e">
        <f t="shared" si="10"/>
        <v>#N/A</v>
      </c>
      <c r="U7" s="349" t="e">
        <f>NA()</f>
        <v>#N/A</v>
      </c>
      <c r="V7" s="349" t="e">
        <f t="shared" si="11"/>
        <v>#N/A</v>
      </c>
      <c r="W7">
        <f>COUNTIFS('Quote Log'!$B:$B,"&lt;&gt;VOID",'Quote Log'!$B:$B,"&lt;&gt;Requoted",'Quote Log'!$C:$C,"&gt;="&amp;DATE(2021,6,1),'Quote Log'!$C:$C,"&lt;="&amp;DATE(2021,6,30),'Quote Log'!$AK:$AK,"=Web Unknown")</f>
        <v>0</v>
      </c>
      <c r="X7">
        <f>COUNTIFS('Quote Log'!$B:$B,"&lt;&gt;VOID",'Quote Log'!$B:$B,"&lt;&gt;Requoted",'Quote Log'!$C:$C,"&gt;="&amp;DATE(2021,6,1),'Quote Log'!$C:$C,"&lt;="&amp;DATE(2021,6,30),'Quote Log'!$AK:$AK,"=Google")</f>
        <v>0</v>
      </c>
      <c r="Y7">
        <f>COUNTIFS('Quote Log'!$B:$B,"&lt;&gt;VOID",'Quote Log'!$B:$B,"&lt;&gt;Requoted",'Quote Log'!$C:$C,"&gt;="&amp;DATE(2021,6,1),'Quote Log'!$C:$C,"&lt;="&amp;DATE(2021,6,30),'Quote Log'!$AK:$AK,"=Linked-In")</f>
        <v>0</v>
      </c>
      <c r="Z7">
        <f>COUNTIFS('Quote Log'!$B:$B,"&lt;&gt;VOID",'Quote Log'!$B:$B,"&lt;&gt;Requoted",'Quote Log'!$C:$C,"&gt;="&amp;DATE(2021,6,1),'Quote Log'!$C:$C,"&lt;="&amp;DATE(2021,6,30),'Quote Log'!$AK:$AK,"=Thomasnet")</f>
        <v>0</v>
      </c>
      <c r="AA7">
        <f t="shared" si="12"/>
        <v>0</v>
      </c>
      <c r="AB7">
        <f>COUNTIFS('Quote Log'!$B:$B,"&lt;&gt;VOID",'Quote Log'!$B:$B,"&lt;&gt;Requoted",'Quote Log'!$C:$C,"&gt;="&amp;DATE(2021,6,1),'Quote Log'!$C:$C,"&lt;="&amp;DATE(2021,6,30),'Quote Log'!$AK:$AK,"=Phone Call")</f>
        <v>0</v>
      </c>
      <c r="AC7">
        <f>COUNTIFS('Quote Log'!$B:$B,"&lt;&gt;VOID",'Quote Log'!$B:$B,"&lt;&gt;Requoted",'Quote Log'!$C:$C,"&gt;="&amp;DATE(2021,6,1),'Quote Log'!$C:$C,"&lt;="&amp;DATE(2021,6,30),'Quote Log'!$AK:$AK,"=Trade Show")</f>
        <v>0</v>
      </c>
      <c r="AD7">
        <f>COUNTIFS('Quote Log'!$B:$B,"&lt;&gt;VOID",'Quote Log'!$B:$B,"&lt;&gt;Requoted",'Quote Log'!$C:$C,"&gt;="&amp;DATE(2021,6,1),'Quote Log'!$C:$C,"&lt;="&amp;DATE(2021,6,30),'Quote Log'!$AK:$AK,"=Referral")</f>
        <v>0</v>
      </c>
      <c r="AE7" s="350" t="e">
        <f t="shared" si="13"/>
        <v>#N/A</v>
      </c>
      <c r="AF7">
        <f>COUNTIFS('Quote Log'!$B:$B,"&lt;&gt;VOID",'Quote Log'!$B:$B,"&lt;&gt;",'Quote Log'!$B:$B,"&lt;&gt;Cathy",'Quote Log'!$B:$B,"&lt;&gt;Larry",'Quote Log'!$B:$B,"&lt;&gt;LOST",'Quote Log'!$B:$B,"&lt;&gt;Purchased",'Quote Log'!$B:$B,"&lt;&gt;Max",'Quote Log'!$B:$B,"&lt;&gt;Quote Sent",'Quote Log'!$B:$B,"&lt;&gt;ISSUE",'Quote Log'!$B:$B,"&lt;&gt;Requoted",'Quote Log'!$C:$C,"&gt;="&amp;DATE(2021,6,1),'Quote Log'!$C:$C,"&lt;="&amp;DATE(2021,6,30))</f>
        <v>0</v>
      </c>
      <c r="AG7" s="350" t="e">
        <f t="shared" si="14"/>
        <v>#N/A</v>
      </c>
      <c r="AH7" s="358">
        <f>SUMIFS('Quote Log'!$AB:$AB,'Quote Log'!$B:$B,"=Quote Sent",'Quote Log'!$C:$C,"&gt;="&amp;DATE(2021,6,1),'Quote Log'!$C:$C,"&lt;="&amp;DATE(2021,6,30),'Quote Log'!$AB:$AB,"&lt;&gt;#VALUE!")</f>
        <v>0</v>
      </c>
      <c r="AI7" s="358" t="e">
        <f t="shared" si="15"/>
        <v>#N/A</v>
      </c>
      <c r="AJ7" s="358">
        <f>SUMIFS('Quote Log'!$AB:$AB,'Quote Log'!$B:$B,"=LOST",'Quote Log'!$C:$C,"&gt;="&amp;DATE(2021,6,1),'Quote Log'!$C:$C,"&lt;="&amp;DATE(2021,6,30),'Quote Log'!$AB:$AB,"&lt;&gt;#VALUE!")</f>
        <v>0</v>
      </c>
      <c r="AK7" s="358" t="e">
        <f t="shared" si="16"/>
        <v>#N/A</v>
      </c>
      <c r="AM7" s="339"/>
      <c r="AZ7" t="s">
        <v>1535</v>
      </c>
    </row>
    <row r="8" spans="1:63" x14ac:dyDescent="0.25">
      <c r="A8" s="338">
        <v>44378</v>
      </c>
      <c r="B8">
        <f>COUNTIFS('Quote Log'!$B:$B,"&lt;&gt;VOID",'Quote Log'!$B:$B,"&lt;&gt;Requoted",'Quote Log'!$C:$C,"&gt;="&amp;DATE(2021,7,1),'Quote Log'!$C:$C,"&lt;="&amp;DATE(2021,7,31),'Quote Log'!$B:$B,"&lt;&gt;VOID",'Quote Log'!$B:$B,"&lt;&gt;Requoted")</f>
        <v>0</v>
      </c>
      <c r="C8" t="e">
        <f t="shared" si="0"/>
        <v>#N/A</v>
      </c>
      <c r="D8">
        <f>COUNTIFS('Quote Log'!$B:$B,"&lt;&gt;VOID",'Quote Log'!$B:$B,"&lt;&gt;Requoted",'Quote Log'!$H:$H,"&gt;="&amp;DATE(2021,7,1),'Quote Log'!$H:$H,"&lt;="&amp;DATE(2021,7,31))</f>
        <v>0</v>
      </c>
      <c r="E8" t="e">
        <f t="shared" si="1"/>
        <v>#N/A</v>
      </c>
      <c r="F8" t="e">
        <f t="shared" si="2"/>
        <v>#N/A</v>
      </c>
      <c r="G8">
        <f>COUNTIFS('Quote Log'!$C:$C,"&gt;="&amp;DATE(2021,7,1),'Quote Log'!$C:$C,"&lt;="&amp;DATE(2021,7,31),'Quote Log'!$B:$B,"=Purchased")</f>
        <v>0</v>
      </c>
      <c r="H8" s="350" t="e">
        <f t="shared" si="3"/>
        <v>#N/A</v>
      </c>
      <c r="I8" s="349" t="e">
        <f t="shared" si="4"/>
        <v>#DIV/0!</v>
      </c>
      <c r="J8" s="349" t="e">
        <f t="shared" si="5"/>
        <v>#N/A</v>
      </c>
      <c r="K8">
        <f>COUNTIFS('Quote Log'!$C:$C,"&gt;="&amp;DATE(2021,7,1),'Quote Log'!$C:$C,"&lt;="&amp;DATE(2021,7,31),'Quote Log'!$B:$B,"=LOST")</f>
        <v>0</v>
      </c>
      <c r="L8">
        <f>COUNTIFS('Quote Log'!$B:$B,"&lt;&gt;VOID",'Quote Log'!$B:$B,"&lt;&gt;Requoted",'Quote Log'!$C:$C,"&gt;="&amp;DATE(2021,7,1),'Quote Log'!$C:$C,"&lt;="&amp;DATE(2021,7,31),'Quote Log'!$V:$V,"=new")</f>
        <v>0</v>
      </c>
      <c r="M8" s="349" t="e">
        <f t="shared" si="6"/>
        <v>#DIV/0!</v>
      </c>
      <c r="N8" s="339" t="e">
        <f t="shared" si="7"/>
        <v>#N/A</v>
      </c>
      <c r="O8" s="358">
        <f>SUMIFS('Quote Log'!$AB:$AB,'Quote Log'!$C:$C,"&gt;="&amp;DATE(2021,7,1),'Quote Log'!$C:$C,"&lt;="&amp;DATE(2021,7,31),'Quote Log'!$B:$B,"=Purchased",'Quote Log'!$AB:$AB,"&lt;&gt;#VALUE!")</f>
        <v>0</v>
      </c>
      <c r="P8" s="358" t="e">
        <f t="shared" si="8"/>
        <v>#N/A</v>
      </c>
      <c r="Q8" s="358" t="e">
        <f>NA()</f>
        <v>#N/A</v>
      </c>
      <c r="R8" s="349" t="e">
        <f t="shared" si="9"/>
        <v>#N/A</v>
      </c>
      <c r="S8" s="358">
        <f>SUMIFS('Quote Log'!$AB:$AB,'Quote Log'!$C:$C,"&gt;="&amp;DATE(2021,7,1),'Quote Log'!$C:$C,"&lt;="&amp;DATE(2021,7,31),'Quote Log'!$B:$B,"=Purchased",'Quote Log'!$AB:$AB,"&lt;&gt;#VALUE!")+S7</f>
        <v>0</v>
      </c>
      <c r="T8" s="358" t="e">
        <f t="shared" si="10"/>
        <v>#N/A</v>
      </c>
      <c r="U8" s="349" t="e">
        <f>NA()</f>
        <v>#N/A</v>
      </c>
      <c r="V8" s="349" t="e">
        <f t="shared" si="11"/>
        <v>#N/A</v>
      </c>
      <c r="W8">
        <f>COUNTIFS('Quote Log'!$B:$B,"&lt;&gt;VOID",'Quote Log'!$B:$B,"&lt;&gt;Requoted",'Quote Log'!$C:$C,"&gt;="&amp;DATE(2021,7,1),'Quote Log'!$C:$C,"&lt;="&amp;DATE(2021,7,31),'Quote Log'!$AK:$AK,"=Web Unknown")</f>
        <v>0</v>
      </c>
      <c r="X8">
        <f>COUNTIFS('Quote Log'!$B:$B,"&lt;&gt;VOID",'Quote Log'!$B:$B,"&lt;&gt;Requoted",'Quote Log'!$C:$C,"&gt;="&amp;DATE(2021,7,1),'Quote Log'!$C:$C,"&lt;="&amp;DATE(2021,7,31),'Quote Log'!$AK:$AK,"=Google")</f>
        <v>0</v>
      </c>
      <c r="Y8">
        <f>COUNTIFS('Quote Log'!$B:$B,"&lt;&gt;VOID",'Quote Log'!$B:$B,"&lt;&gt;Requoted",'Quote Log'!$C:$C,"&gt;="&amp;DATE(2021,7,1),'Quote Log'!$C:$C,"&lt;="&amp;DATE(2021,7,31),'Quote Log'!$AK:$AK,"=Linked-In")</f>
        <v>0</v>
      </c>
      <c r="Z8">
        <f>COUNTIFS('Quote Log'!$B:$B,"&lt;&gt;VOID",'Quote Log'!$B:$B,"&lt;&gt;Requoted",'Quote Log'!$C:$C,"&gt;="&amp;DATE(2021,7,1),'Quote Log'!$C:$C,"&lt;="&amp;DATE(2021,7,31),'Quote Log'!$AK:$AK,"=Thomasnet")</f>
        <v>0</v>
      </c>
      <c r="AA8">
        <f t="shared" si="12"/>
        <v>0</v>
      </c>
      <c r="AB8">
        <f>COUNTIFS('Quote Log'!$B:$B,"&lt;&gt;VOID",'Quote Log'!$B:$B,"&lt;&gt;Requoted",'Quote Log'!$C:$C,"&gt;="&amp;DATE(2021,7,1),'Quote Log'!$C:$C,"&lt;="&amp;DATE(2021,7,31),'Quote Log'!$AK:$AK,"=Phone Call")</f>
        <v>0</v>
      </c>
      <c r="AC8">
        <f>COUNTIFS('Quote Log'!$B:$B,"&lt;&gt;VOID",'Quote Log'!$B:$B,"&lt;&gt;Requoted",'Quote Log'!$C:$C,"&gt;="&amp;DATE(2021,7,1),'Quote Log'!$C:$C,"&lt;="&amp;DATE(2021,7,31),'Quote Log'!$AK:$AK,"=Trade Show")</f>
        <v>0</v>
      </c>
      <c r="AD8">
        <f>COUNTIFS('Quote Log'!$B:$B,"&lt;&gt;VOID",'Quote Log'!$B:$B,"&lt;&gt;Requoted",'Quote Log'!$C:$C,"&gt;="&amp;DATE(2021,7,1),'Quote Log'!$C:$C,"&lt;="&amp;DATE(2021,7,31),'Quote Log'!$AK:$AK,"=Referral")</f>
        <v>0</v>
      </c>
      <c r="AE8" s="350" t="e">
        <f t="shared" si="13"/>
        <v>#N/A</v>
      </c>
      <c r="AF8">
        <f>COUNTIFS('Quote Log'!$B:$B,"&lt;&gt;VOID",'Quote Log'!$B:$B,"&lt;&gt;",'Quote Log'!$B:$B,"&lt;&gt;Cathy",'Quote Log'!$B:$B,"&lt;&gt;Larry",'Quote Log'!$B:$B,"&lt;&gt;LOST",'Quote Log'!$B:$B,"&lt;&gt;Purchased",'Quote Log'!$B:$B,"&lt;&gt;Max",'Quote Log'!$B:$B,"&lt;&gt;Quote Sent",'Quote Log'!$B:$B,"&lt;&gt;ISSUE",'Quote Log'!$B:$B,"&lt;&gt;Requoted",'Quote Log'!$C:$C,"&gt;="&amp;DATE(2021,7,1),'Quote Log'!$C:$C,"&lt;="&amp;DATE(2021,7,31))</f>
        <v>0</v>
      </c>
      <c r="AG8" s="350" t="e">
        <f t="shared" si="14"/>
        <v>#N/A</v>
      </c>
      <c r="AH8" s="358">
        <f>SUMIFS('Quote Log'!$AB:$AB,'Quote Log'!$B:$B,"=Quote Sent",'Quote Log'!$C:$C,"&gt;="&amp;DATE(2021,7,1),'Quote Log'!$C:$C,"&lt;="&amp;DATE(2021,7,31),'Quote Log'!$AB:$AB,"&lt;&gt;#VALUE!")</f>
        <v>0</v>
      </c>
      <c r="AI8" s="358" t="e">
        <f t="shared" si="15"/>
        <v>#N/A</v>
      </c>
      <c r="AJ8" s="358">
        <f>SUMIFS('Quote Log'!$AB:$AB,'Quote Log'!$B:$B,"=LOST",'Quote Log'!$C:$C,"&gt;="&amp;DATE(2021,7,1),'Quote Log'!$C:$C,"&lt;="&amp;DATE(2021,7,31),'Quote Log'!$AB:$AB,"&lt;&gt;#VALUE!")</f>
        <v>0</v>
      </c>
      <c r="AK8" s="358" t="e">
        <f t="shared" si="16"/>
        <v>#N/A</v>
      </c>
      <c r="AM8" s="339"/>
      <c r="AZ8" t="s">
        <v>1536</v>
      </c>
    </row>
    <row r="9" spans="1:63" x14ac:dyDescent="0.25">
      <c r="A9" s="338">
        <v>44409</v>
      </c>
      <c r="B9">
        <f>COUNTIFS('Quote Log'!$B:$B,"&lt;&gt;VOID",'Quote Log'!$B:$B,"&lt;&gt;Requoted",'Quote Log'!$C:$C,"&gt;="&amp;DATE(2021,8,1),'Quote Log'!$C:$C,"&lt;="&amp;DATE(2021,8,31),'Quote Log'!$B:$B,"&lt;&gt;VOID",'Quote Log'!$B:$B,"&lt;&gt;Requoted")</f>
        <v>0</v>
      </c>
      <c r="C9" t="e">
        <f t="shared" si="0"/>
        <v>#N/A</v>
      </c>
      <c r="D9">
        <f>COUNTIFS('Quote Log'!$B:$B,"&lt;&gt;VOID",'Quote Log'!$B:$B,"&lt;&gt;Requoted",'Quote Log'!$H:$H,"&gt;="&amp;DATE(2021,8,1),'Quote Log'!$H:$H,"&lt;="&amp;DATE(2021,8,31))</f>
        <v>0</v>
      </c>
      <c r="E9" t="e">
        <f t="shared" si="1"/>
        <v>#N/A</v>
      </c>
      <c r="F9" t="e">
        <f t="shared" si="2"/>
        <v>#N/A</v>
      </c>
      <c r="G9">
        <f>COUNTIFS('Quote Log'!$C:$C,"&gt;="&amp;DATE(2021,8,1),'Quote Log'!$C:$C,"&lt;="&amp;DATE(2021,8,31),'Quote Log'!$B:$B,"=Purchased")</f>
        <v>0</v>
      </c>
      <c r="H9" s="350" t="e">
        <f t="shared" si="3"/>
        <v>#N/A</v>
      </c>
      <c r="I9" s="349" t="e">
        <f t="shared" si="4"/>
        <v>#DIV/0!</v>
      </c>
      <c r="J9" s="349" t="e">
        <f t="shared" si="5"/>
        <v>#N/A</v>
      </c>
      <c r="K9">
        <f>COUNTIFS('Quote Log'!$C:$C,"&gt;="&amp;DATE(2021,8,1),'Quote Log'!$C:$C,"&lt;="&amp;DATE(2021,8,31),'Quote Log'!$B:$B,"=LOST")</f>
        <v>0</v>
      </c>
      <c r="L9">
        <f>COUNTIFS('Quote Log'!$B:$B,"&lt;&gt;VOID",'Quote Log'!$B:$B,"&lt;&gt;Requoted",'Quote Log'!$C:$C,"&gt;="&amp;DATE(2021,8,1),'Quote Log'!$C:$C,"&lt;="&amp;DATE(2021,8,31),'Quote Log'!$V:$V,"=new")</f>
        <v>0</v>
      </c>
      <c r="M9" s="349" t="e">
        <f t="shared" si="6"/>
        <v>#DIV/0!</v>
      </c>
      <c r="N9" s="339" t="e">
        <f t="shared" si="7"/>
        <v>#N/A</v>
      </c>
      <c r="O9" s="358">
        <f>SUMIFS('Quote Log'!$AB:$AB,'Quote Log'!$C:$C,"&gt;="&amp;DATE(2021,8,1),'Quote Log'!$C:$C,"&lt;="&amp;DATE(2021,8,31),'Quote Log'!$B:$B,"=Purchased",'Quote Log'!$AB:$AB,"&lt;&gt;#VALUE!")</f>
        <v>0</v>
      </c>
      <c r="P9" s="358" t="e">
        <f t="shared" si="8"/>
        <v>#N/A</v>
      </c>
      <c r="Q9" s="358" t="e">
        <f>NA()</f>
        <v>#N/A</v>
      </c>
      <c r="R9" s="349" t="e">
        <f t="shared" si="9"/>
        <v>#N/A</v>
      </c>
      <c r="S9" s="358">
        <f>SUMIFS('Quote Log'!$AB:$AB,'Quote Log'!$C:$C,"&gt;="&amp;DATE(2021,8,1),'Quote Log'!$C:$C,"&lt;="&amp;DATE(2021,8,31),'Quote Log'!$B:$B,"=Purchased",'Quote Log'!$AB:$AB,"&lt;&gt;#VALUE!")+S8</f>
        <v>0</v>
      </c>
      <c r="T9" s="358" t="e">
        <f t="shared" si="10"/>
        <v>#N/A</v>
      </c>
      <c r="U9" s="349" t="e">
        <f>NA()</f>
        <v>#N/A</v>
      </c>
      <c r="V9" s="349" t="e">
        <f t="shared" si="11"/>
        <v>#N/A</v>
      </c>
      <c r="W9">
        <f>COUNTIFS('Quote Log'!$B:$B,"&lt;&gt;VOID",'Quote Log'!$B:$B,"&lt;&gt;Requoted",'Quote Log'!$C:$C,"&gt;="&amp;DATE(2021,8,1),'Quote Log'!$C:$C,"&lt;="&amp;DATE(2021,8,31),'Quote Log'!$AK:$AK,"=Web Unknown")</f>
        <v>0</v>
      </c>
      <c r="X9">
        <f>COUNTIFS('Quote Log'!$B:$B,"&lt;&gt;VOID",'Quote Log'!$B:$B,"&lt;&gt;Requoted",'Quote Log'!$C:$C,"&gt;="&amp;DATE(2021,8,1),'Quote Log'!$C:$C,"&lt;="&amp;DATE(2021,8,31),'Quote Log'!$AK:$AK,"=Google")</f>
        <v>0</v>
      </c>
      <c r="Y9">
        <f>COUNTIFS('Quote Log'!$B:$B,"&lt;&gt;VOID",'Quote Log'!$B:$B,"&lt;&gt;Requoted",'Quote Log'!$C:$C,"&gt;="&amp;DATE(2021,8,1),'Quote Log'!$C:$C,"&lt;="&amp;DATE(2021,8,31),'Quote Log'!$AK:$AK,"=Linked-In")</f>
        <v>0</v>
      </c>
      <c r="Z9">
        <f>COUNTIFS('Quote Log'!$B:$B,"&lt;&gt;VOID",'Quote Log'!$B:$B,"&lt;&gt;Requoted",'Quote Log'!$C:$C,"&gt;="&amp;DATE(2021,8,1),'Quote Log'!$C:$C,"&lt;="&amp;DATE(2021,8,31),'Quote Log'!$AK:$AK,"=Thomasnet")</f>
        <v>0</v>
      </c>
      <c r="AA9">
        <f t="shared" si="12"/>
        <v>0</v>
      </c>
      <c r="AB9">
        <f>COUNTIFS('Quote Log'!$B:$B,"&lt;&gt;VOID",'Quote Log'!$B:$B,"&lt;&gt;Requoted",'Quote Log'!$C:$C,"&gt;="&amp;DATE(2021,8,1),'Quote Log'!$C:$C,"&lt;="&amp;DATE(2021,8,31),'Quote Log'!$AK:$AK,"=Phone Call")</f>
        <v>0</v>
      </c>
      <c r="AC9">
        <f>COUNTIFS('Quote Log'!$B:$B,"&lt;&gt;VOID",'Quote Log'!$B:$B,"&lt;&gt;Requoted",'Quote Log'!$C:$C,"&gt;="&amp;DATE(2021,8,1),'Quote Log'!$C:$C,"&lt;="&amp;DATE(2021,8,31),'Quote Log'!$AK:$AK,"=Trade Show")</f>
        <v>0</v>
      </c>
      <c r="AD9">
        <f>COUNTIFS('Quote Log'!$B:$B,"&lt;&gt;VOID",'Quote Log'!$B:$B,"&lt;&gt;Requoted",'Quote Log'!$C:$C,"&gt;="&amp;DATE(2021,8,1),'Quote Log'!$C:$C,"&lt;="&amp;DATE(2021,8,31),'Quote Log'!$AK:$AK,"=Referral")</f>
        <v>0</v>
      </c>
      <c r="AE9" s="350" t="e">
        <f t="shared" si="13"/>
        <v>#N/A</v>
      </c>
      <c r="AF9">
        <f>COUNTIFS('Quote Log'!$B:$B,"&lt;&gt;VOID",'Quote Log'!$B:$B,"&lt;&gt;",'Quote Log'!$B:$B,"&lt;&gt;Cathy",'Quote Log'!$B:$B,"&lt;&gt;Larry",'Quote Log'!$B:$B,"&lt;&gt;LOST",'Quote Log'!$B:$B,"&lt;&gt;Purchased",'Quote Log'!$B:$B,"&lt;&gt;Max",'Quote Log'!$B:$B,"&lt;&gt;Quote Sent",'Quote Log'!$B:$B,"&lt;&gt;ISSUE",'Quote Log'!$B:$B,"&lt;&gt;Requoted",'Quote Log'!$C:$C,"&gt;="&amp;DATE(2021,8,1),'Quote Log'!$C:$C,"&lt;="&amp;DATE(2021,8,31))</f>
        <v>0</v>
      </c>
      <c r="AG9" s="350" t="e">
        <f t="shared" si="14"/>
        <v>#N/A</v>
      </c>
      <c r="AH9" s="358">
        <f>SUMIFS('Quote Log'!$AB:$AB,'Quote Log'!$B:$B,"=Quote Sent",'Quote Log'!$C:$C,"&gt;="&amp;DATE(2021,8,1),'Quote Log'!$C:$C,"&lt;="&amp;DATE(2021,8,31),'Quote Log'!$AB:$AB,"&lt;&gt;#VALUE!")</f>
        <v>0</v>
      </c>
      <c r="AI9" s="358" t="e">
        <f t="shared" si="15"/>
        <v>#N/A</v>
      </c>
      <c r="AJ9" s="358">
        <f>SUMIFS('Quote Log'!$AB:$AB,'Quote Log'!$B:$B,"=LOST",'Quote Log'!$C:$C,"&gt;="&amp;DATE(2021,8,1),'Quote Log'!$C:$C,"&lt;="&amp;DATE(2021,8,31),'Quote Log'!$AB:$AB,"&lt;&gt;#VALUE!")</f>
        <v>0</v>
      </c>
      <c r="AK9" s="358" t="e">
        <f t="shared" si="16"/>
        <v>#N/A</v>
      </c>
      <c r="AM9" s="339"/>
      <c r="AZ9" t="s">
        <v>330</v>
      </c>
    </row>
    <row r="10" spans="1:63" x14ac:dyDescent="0.25">
      <c r="A10" s="338">
        <v>44440</v>
      </c>
      <c r="B10">
        <f>COUNTIFS('Quote Log'!$B:$B,"&lt;&gt;VOID",'Quote Log'!$B:$B,"&lt;&gt;Requoted",'Quote Log'!$C:$C,"&gt;="&amp;DATE(2021,9,1),'Quote Log'!$C:$C,"&lt;="&amp;DATE(2021,9,30),'Quote Log'!$B:$B,"&lt;&gt;VOID",'Quote Log'!$B:$B,"&lt;&gt;Requoted")</f>
        <v>0</v>
      </c>
      <c r="C10" t="e">
        <f t="shared" si="0"/>
        <v>#N/A</v>
      </c>
      <c r="D10">
        <f>COUNTIFS('Quote Log'!$B:$B,"&lt;&gt;VOID",'Quote Log'!$B:$B,"&lt;&gt;Requoted",'Quote Log'!$H:$H,"&gt;="&amp;DATE(2021,9,1),'Quote Log'!$H:$H,"&lt;="&amp;DATE(2021,9,30))</f>
        <v>0</v>
      </c>
      <c r="E10" t="e">
        <f t="shared" si="1"/>
        <v>#N/A</v>
      </c>
      <c r="F10" t="e">
        <f t="shared" si="2"/>
        <v>#N/A</v>
      </c>
      <c r="G10">
        <f>COUNTIFS('Quote Log'!$C:$C,"&gt;="&amp;DATE(2021,9,1),'Quote Log'!$C:$C,"&lt;="&amp;DATE(2021,9,30),'Quote Log'!$B:$B,"=Purchased")</f>
        <v>0</v>
      </c>
      <c r="H10" s="350" t="e">
        <f t="shared" si="3"/>
        <v>#N/A</v>
      </c>
      <c r="I10" s="349" t="e">
        <f t="shared" si="4"/>
        <v>#DIV/0!</v>
      </c>
      <c r="J10" s="349" t="e">
        <f t="shared" si="5"/>
        <v>#N/A</v>
      </c>
      <c r="K10">
        <f>COUNTIFS('Quote Log'!$C:$C,"&gt;="&amp;DATE(2021,9,1),'Quote Log'!$C:$C,"&lt;="&amp;DATE(2021,9,30),'Quote Log'!$B:$B,"=LOST")</f>
        <v>0</v>
      </c>
      <c r="L10">
        <f>COUNTIFS('Quote Log'!$B:$B,"&lt;&gt;VOID",'Quote Log'!$B:$B,"&lt;&gt;Requoted",'Quote Log'!$C:$C,"&gt;="&amp;DATE(2021,9,1),'Quote Log'!$C:$C,"&lt;="&amp;DATE(2021,9,30),'Quote Log'!$V:$V,"=new")</f>
        <v>0</v>
      </c>
      <c r="M10" s="349" t="e">
        <f t="shared" si="6"/>
        <v>#DIV/0!</v>
      </c>
      <c r="N10" s="339" t="e">
        <f t="shared" si="7"/>
        <v>#N/A</v>
      </c>
      <c r="O10" s="358">
        <f>SUMIFS('Quote Log'!$AB:$AB,'Quote Log'!$C:$C,"&gt;="&amp;DATE(2021,9,1),'Quote Log'!$C:$C,"&lt;="&amp;DATE(2021,9,30),'Quote Log'!$B:$B,"=Purchased",'Quote Log'!$AB:$AB,"&lt;&gt;#VALUE!")</f>
        <v>0</v>
      </c>
      <c r="P10" s="358" t="e">
        <f t="shared" si="8"/>
        <v>#N/A</v>
      </c>
      <c r="Q10" s="358" t="e">
        <f>NA()</f>
        <v>#N/A</v>
      </c>
      <c r="R10" s="349" t="e">
        <f t="shared" si="9"/>
        <v>#N/A</v>
      </c>
      <c r="S10" s="358">
        <f>SUMIFS('Quote Log'!$AB:$AB,'Quote Log'!$C:$C,"&gt;="&amp;DATE(2021,9,1),'Quote Log'!$C:$C,"&lt;="&amp;DATE(2021,9,30),'Quote Log'!$B:$B,"=Purchased",'Quote Log'!$AB:$AB,"&lt;&gt;#VALUE!")+S9</f>
        <v>0</v>
      </c>
      <c r="T10" s="358" t="e">
        <f t="shared" si="10"/>
        <v>#N/A</v>
      </c>
      <c r="U10" s="349" t="e">
        <f>NA()</f>
        <v>#N/A</v>
      </c>
      <c r="V10" s="349" t="e">
        <f t="shared" si="11"/>
        <v>#N/A</v>
      </c>
      <c r="W10">
        <f>COUNTIFS('Quote Log'!$B:$B,"&lt;&gt;VOID",'Quote Log'!$B:$B,"&lt;&gt;Requoted",'Quote Log'!$C:$C,"&gt;="&amp;DATE(2021,9,1),'Quote Log'!$C:$C,"&lt;="&amp;DATE(2021,9,30),'Quote Log'!$AK:$AK,"=Web Unknown")</f>
        <v>0</v>
      </c>
      <c r="X10">
        <f>COUNTIFS('Quote Log'!$B:$B,"&lt;&gt;VOID",'Quote Log'!$B:$B,"&lt;&gt;Requoted",'Quote Log'!$C:$C,"&gt;="&amp;DATE(2021,9,1),'Quote Log'!$C:$C,"&lt;="&amp;DATE(2021,9,30),'Quote Log'!$AK:$AK,"=Google")</f>
        <v>0</v>
      </c>
      <c r="Y10">
        <f>COUNTIFS('Quote Log'!$B:$B,"&lt;&gt;VOID",'Quote Log'!$B:$B,"&lt;&gt;Requoted",'Quote Log'!$C:$C,"&gt;="&amp;DATE(2021,9,1),'Quote Log'!$C:$C,"&lt;="&amp;DATE(2021,9,30),'Quote Log'!$AK:$AK,"=Linked-In")</f>
        <v>0</v>
      </c>
      <c r="Z10">
        <f>COUNTIFS('Quote Log'!$B:$B,"&lt;&gt;VOID",'Quote Log'!$B:$B,"&lt;&gt;Requoted",'Quote Log'!$C:$C,"&gt;="&amp;DATE(2021,9,1),'Quote Log'!$C:$C,"&lt;="&amp;DATE(2021,9,30),'Quote Log'!$AK:$AK,"=Thomasnet")</f>
        <v>0</v>
      </c>
      <c r="AA10">
        <f t="shared" si="12"/>
        <v>0</v>
      </c>
      <c r="AB10">
        <f>COUNTIFS('Quote Log'!$B:$B,"&lt;&gt;VOID",'Quote Log'!$B:$B,"&lt;&gt;Requoted",'Quote Log'!$C:$C,"&gt;="&amp;DATE(2021,9,1),'Quote Log'!$C:$C,"&lt;="&amp;DATE(2021,9,30),'Quote Log'!$AK:$AK,"=Phone Call")</f>
        <v>0</v>
      </c>
      <c r="AC10">
        <f>COUNTIFS('Quote Log'!$B:$B,"&lt;&gt;VOID",'Quote Log'!$B:$B,"&lt;&gt;Requoted",'Quote Log'!$C:$C,"&gt;="&amp;DATE(2021,9,1),'Quote Log'!$C:$C,"&lt;="&amp;DATE(2021,9,30),'Quote Log'!$AK:$AK,"=Trade Show")</f>
        <v>0</v>
      </c>
      <c r="AD10">
        <f>COUNTIFS('Quote Log'!$B:$B,"&lt;&gt;VOID",'Quote Log'!$B:$B,"&lt;&gt;Requoted",'Quote Log'!$C:$C,"&gt;="&amp;DATE(2021,9,1),'Quote Log'!$C:$C,"&lt;="&amp;DATE(2021,9,30),'Quote Log'!$AK:$AK,"=Referral")</f>
        <v>0</v>
      </c>
      <c r="AE10" s="350" t="e">
        <f t="shared" si="13"/>
        <v>#N/A</v>
      </c>
      <c r="AF10">
        <f>COUNTIFS('Quote Log'!$B:$B,"&lt;&gt;VOID",'Quote Log'!$B:$B,"&lt;&gt;",'Quote Log'!$B:$B,"&lt;&gt;Cathy",'Quote Log'!$B:$B,"&lt;&gt;Larry",'Quote Log'!$B:$B,"&lt;&gt;LOST",'Quote Log'!$B:$B,"&lt;&gt;Purchased",'Quote Log'!$B:$B,"&lt;&gt;Max",'Quote Log'!$B:$B,"&lt;&gt;Quote Sent",'Quote Log'!$B:$B,"&lt;&gt;ISSUE",'Quote Log'!$B:$B,"&lt;&gt;Requoted",'Quote Log'!$C:$C,"&gt;="&amp;DATE(2021,9,1),'Quote Log'!$C:$C,"&lt;="&amp;DATE(2021,9,30))</f>
        <v>0</v>
      </c>
      <c r="AG10" s="350" t="e">
        <f t="shared" si="14"/>
        <v>#N/A</v>
      </c>
      <c r="AH10" s="358">
        <f>SUMIFS('Quote Log'!$AB:$AB,'Quote Log'!$B:$B,"=Quote Sent",'Quote Log'!$C:$C,"&gt;="&amp;DATE(2021,9,1),'Quote Log'!$C:$C,"&lt;="&amp;DATE(2021,9,30),'Quote Log'!$AB:$AB,"&lt;&gt;#VALUE!")</f>
        <v>0</v>
      </c>
      <c r="AI10" s="358" t="e">
        <f t="shared" si="15"/>
        <v>#N/A</v>
      </c>
      <c r="AJ10" s="358">
        <f>SUMIFS('Quote Log'!$AB:$AB,'Quote Log'!$B:$B,"=LOST",'Quote Log'!$C:$C,"&gt;="&amp;DATE(2021,9,1),'Quote Log'!$C:$C,"&lt;="&amp;DATE(2021,9,30),'Quote Log'!$AB:$AB,"&lt;&gt;#VALUE!")</f>
        <v>0</v>
      </c>
      <c r="AK10" s="358" t="e">
        <f t="shared" si="16"/>
        <v>#N/A</v>
      </c>
      <c r="AM10" s="339"/>
      <c r="AZ10" t="s">
        <v>399</v>
      </c>
    </row>
    <row r="11" spans="1:63" x14ac:dyDescent="0.25">
      <c r="A11" s="338">
        <v>44470</v>
      </c>
      <c r="B11">
        <f>COUNTIFS('Quote Log'!$B:$B,"&lt;&gt;VOID",'Quote Log'!$B:$B,"&lt;&gt;Requoted",'Quote Log'!$C:$C,"&gt;="&amp;DATE(2021,10,1),'Quote Log'!$C:$C,"&lt;="&amp;DATE(2021,10,31),'Quote Log'!$B:$B,"&lt;&gt;VOID",'Quote Log'!$B:$B,"&lt;&gt;Requoted")</f>
        <v>0</v>
      </c>
      <c r="C11" t="e">
        <f t="shared" si="0"/>
        <v>#N/A</v>
      </c>
      <c r="D11">
        <f>COUNTIFS('Quote Log'!$B:$B,"&lt;&gt;VOID",'Quote Log'!$B:$B,"&lt;&gt;Requoted",'Quote Log'!$H:$H,"&gt;="&amp;DATE(2021,10,1),'Quote Log'!$H:$H,"&lt;="&amp;DATE(2021,10,31))</f>
        <v>0</v>
      </c>
      <c r="E11" t="e">
        <f t="shared" si="1"/>
        <v>#N/A</v>
      </c>
      <c r="F11" t="e">
        <f t="shared" si="2"/>
        <v>#N/A</v>
      </c>
      <c r="G11">
        <f>COUNTIFS('Quote Log'!$C:$C,"&gt;="&amp;DATE(2021,10,1),'Quote Log'!$C:$C,"&lt;="&amp;DATE(2021,10,31),'Quote Log'!$B:$B,"=Purchased")</f>
        <v>0</v>
      </c>
      <c r="H11" s="350" t="e">
        <f t="shared" si="3"/>
        <v>#N/A</v>
      </c>
      <c r="I11" s="349" t="e">
        <f t="shared" si="4"/>
        <v>#DIV/0!</v>
      </c>
      <c r="J11" s="349" t="e">
        <f t="shared" si="5"/>
        <v>#N/A</v>
      </c>
      <c r="K11">
        <f>COUNTIFS('Quote Log'!$C:$C,"&gt;="&amp;DATE(2021,10,1),'Quote Log'!$C:$C,"&lt;="&amp;DATE(2021,10,31),'Quote Log'!$B:$B,"=LOST")</f>
        <v>0</v>
      </c>
      <c r="L11">
        <f>COUNTIFS('Quote Log'!$B:$B,"&lt;&gt;VOID",'Quote Log'!$B:$B,"&lt;&gt;Requoted",'Quote Log'!$C:$C,"&gt;="&amp;DATE(2021,10,1),'Quote Log'!$C:$C,"&lt;="&amp;DATE(2021,10,31),'Quote Log'!$V:$V,"=new")</f>
        <v>0</v>
      </c>
      <c r="M11" s="349" t="e">
        <f t="shared" si="6"/>
        <v>#DIV/0!</v>
      </c>
      <c r="N11" s="339" t="e">
        <f t="shared" si="7"/>
        <v>#N/A</v>
      </c>
      <c r="O11" s="358">
        <f>SUMIFS('Quote Log'!$AB:$AB,'Quote Log'!$C:$C,"&gt;="&amp;DATE(2021,10,1),'Quote Log'!$C:$C,"&lt;="&amp;DATE(2021,10,31),'Quote Log'!$B:$B,"=Purchased",'Quote Log'!$AB:$AB,"&lt;&gt;#VALUE!")</f>
        <v>0</v>
      </c>
      <c r="P11" s="358" t="e">
        <f t="shared" si="8"/>
        <v>#N/A</v>
      </c>
      <c r="Q11" s="358" t="e">
        <f>NA()</f>
        <v>#N/A</v>
      </c>
      <c r="R11" s="349" t="e">
        <f t="shared" si="9"/>
        <v>#N/A</v>
      </c>
      <c r="S11" s="358">
        <f>SUMIFS('Quote Log'!$AB:$AB,'Quote Log'!$C:$C,"&gt;="&amp;DATE(2021,10,1),'Quote Log'!$C:$C,"&lt;="&amp;DATE(2021,10,31),'Quote Log'!$B:$B,"=Purchased",'Quote Log'!$AB:$AB,"&lt;&gt;#VALUE!")+S10</f>
        <v>0</v>
      </c>
      <c r="T11" s="358" t="e">
        <f t="shared" si="10"/>
        <v>#N/A</v>
      </c>
      <c r="U11" s="349" t="e">
        <f>NA()</f>
        <v>#N/A</v>
      </c>
      <c r="V11" s="349" t="e">
        <f t="shared" si="11"/>
        <v>#N/A</v>
      </c>
      <c r="W11">
        <f>COUNTIFS('Quote Log'!$B:$B,"&lt;&gt;VOID",'Quote Log'!$B:$B,"&lt;&gt;Requoted",'Quote Log'!$C:$C,"&gt;="&amp;DATE(2021,10,1),'Quote Log'!$C:$C,"&lt;="&amp;DATE(2021,10,31),'Quote Log'!$AK:$AK,"=Web Unknown")</f>
        <v>0</v>
      </c>
      <c r="X11">
        <f>COUNTIFS('Quote Log'!$B:$B,"&lt;&gt;VOID",'Quote Log'!$B:$B,"&lt;&gt;Requoted",'Quote Log'!$C:$C,"&gt;="&amp;DATE(2021,10,1),'Quote Log'!$C:$C,"&lt;="&amp;DATE(2021,10,31),'Quote Log'!$AK:$AK,"=Google")</f>
        <v>0</v>
      </c>
      <c r="Y11">
        <f>COUNTIFS('Quote Log'!$B:$B,"&lt;&gt;VOID",'Quote Log'!$B:$B,"&lt;&gt;Requoted",'Quote Log'!$C:$C,"&gt;="&amp;DATE(2021,10,1),'Quote Log'!$C:$C,"&lt;="&amp;DATE(2021,10,31),'Quote Log'!$AK:$AK,"=Linked-In")</f>
        <v>0</v>
      </c>
      <c r="Z11">
        <f>COUNTIFS('Quote Log'!$B:$B,"&lt;&gt;VOID",'Quote Log'!$B:$B,"&lt;&gt;Requoted",'Quote Log'!$C:$C,"&gt;="&amp;DATE(2021,10,1),'Quote Log'!$C:$C,"&lt;="&amp;DATE(2021,10,31),'Quote Log'!$AK:$AK,"=Thomasnet")</f>
        <v>0</v>
      </c>
      <c r="AA11">
        <f t="shared" si="12"/>
        <v>0</v>
      </c>
      <c r="AB11">
        <f>COUNTIFS('Quote Log'!$B:$B,"&lt;&gt;VOID",'Quote Log'!$B:$B,"&lt;&gt;Requoted",'Quote Log'!$C:$C,"&gt;="&amp;DATE(2021,10,1),'Quote Log'!$C:$C,"&lt;="&amp;DATE(2021,10,31),'Quote Log'!$AK:$AK,"=Phone Call")</f>
        <v>0</v>
      </c>
      <c r="AC11">
        <f>COUNTIFS('Quote Log'!$B:$B,"&lt;&gt;VOID",'Quote Log'!$B:$B,"&lt;&gt;Requoted",'Quote Log'!$C:$C,"&gt;="&amp;DATE(2021,10,1),'Quote Log'!$C:$C,"&lt;="&amp;DATE(2021,10,31),'Quote Log'!$AK:$AK,"=Trade Show")</f>
        <v>0</v>
      </c>
      <c r="AD11">
        <f>COUNTIFS('Quote Log'!$B:$B,"&lt;&gt;VOID",'Quote Log'!$B:$B,"&lt;&gt;Requoted",'Quote Log'!$C:$C,"&gt;="&amp;DATE(2021,10,1),'Quote Log'!$C:$C,"&lt;="&amp;DATE(2021,10,31),'Quote Log'!$AK:$AK,"=Referral")</f>
        <v>0</v>
      </c>
      <c r="AE11" s="350" t="e">
        <f t="shared" si="13"/>
        <v>#N/A</v>
      </c>
      <c r="AF11">
        <f>COUNTIFS('Quote Log'!$B:$B,"&lt;&gt;VOID",'Quote Log'!$B:$B,"&lt;&gt;",'Quote Log'!$B:$B,"&lt;&gt;Cathy",'Quote Log'!$B:$B,"&lt;&gt;Larry",'Quote Log'!$B:$B,"&lt;&gt;LOST",'Quote Log'!$B:$B,"&lt;&gt;Purchased",'Quote Log'!$B:$B,"&lt;&gt;Max",'Quote Log'!$B:$B,"&lt;&gt;Quote Sent",'Quote Log'!$B:$B,"&lt;&gt;ISSUE",'Quote Log'!$B:$B,"&lt;&gt;Requoted",'Quote Log'!$C:$C,"&gt;="&amp;DATE(2021,10,1),'Quote Log'!$C:$C,"&lt;="&amp;DATE(2021,10,31))</f>
        <v>0</v>
      </c>
      <c r="AG11" s="350" t="e">
        <f t="shared" si="14"/>
        <v>#N/A</v>
      </c>
      <c r="AH11" s="358">
        <f>SUMIFS('Quote Log'!$AB:$AB,'Quote Log'!$B:$B,"=Quote Sent",'Quote Log'!$C:$C,"&gt;="&amp;DATE(2021,10,1),'Quote Log'!$C:$C,"&lt;="&amp;DATE(2021,10,31),'Quote Log'!$AB:$AB,"&lt;&gt;#VALUE!")</f>
        <v>0</v>
      </c>
      <c r="AI11" s="358" t="e">
        <f t="shared" si="15"/>
        <v>#N/A</v>
      </c>
      <c r="AJ11" s="358">
        <f>SUMIFS('Quote Log'!$AB:$AB,'Quote Log'!$B:$B,"=LOST",'Quote Log'!$C:$C,"&gt;="&amp;DATE(2021,10,1),'Quote Log'!$C:$C,"&lt;="&amp;DATE(2021,10,31),'Quote Log'!$AB:$AB,"&lt;&gt;#VALUE!")</f>
        <v>0</v>
      </c>
      <c r="AK11" s="358" t="e">
        <f t="shared" si="16"/>
        <v>#N/A</v>
      </c>
      <c r="AM11" s="339"/>
      <c r="AZ11" t="s">
        <v>1537</v>
      </c>
    </row>
    <row r="12" spans="1:63" x14ac:dyDescent="0.25">
      <c r="A12" s="338">
        <v>44501</v>
      </c>
      <c r="B12">
        <f>COUNTIFS('Quote Log'!$B:$B,"&lt;&gt;VOID",'Quote Log'!$B:$B,"&lt;&gt;Requoted",'Quote Log'!$C:$C,"&gt;="&amp;DATE(2021,11,1),'Quote Log'!$C:$C,"&lt;="&amp;DATE(2021,11,31),'Quote Log'!$B:$B,"&lt;&gt;VOID",'Quote Log'!$B:$B,"&lt;&gt;Requoted")</f>
        <v>0</v>
      </c>
      <c r="C12" t="e">
        <f t="shared" si="0"/>
        <v>#N/A</v>
      </c>
      <c r="D12">
        <f>COUNTIFS('Quote Log'!$B:$B,"&lt;&gt;VOID",'Quote Log'!$B:$B,"&lt;&gt;Requoted",'Quote Log'!$H:$H,"&gt;="&amp;DATE(2021,11,1),'Quote Log'!$H:$H,"&lt;="&amp;DATE(2021,11,31))</f>
        <v>0</v>
      </c>
      <c r="E12" t="e">
        <f t="shared" si="1"/>
        <v>#N/A</v>
      </c>
      <c r="F12" t="e">
        <f t="shared" si="2"/>
        <v>#N/A</v>
      </c>
      <c r="G12">
        <f>COUNTIFS('Quote Log'!$C:$C,"&gt;="&amp;DATE(2021,11,1),'Quote Log'!$C:$C,"&lt;="&amp;DATE(2021,11,31),'Quote Log'!$B:$B,"=Purchased")</f>
        <v>0</v>
      </c>
      <c r="H12" s="350" t="e">
        <f t="shared" si="3"/>
        <v>#N/A</v>
      </c>
      <c r="I12" s="349" t="e">
        <f t="shared" si="4"/>
        <v>#DIV/0!</v>
      </c>
      <c r="J12" s="349" t="e">
        <f t="shared" si="5"/>
        <v>#N/A</v>
      </c>
      <c r="K12">
        <f>COUNTIFS('Quote Log'!$C:$C,"&gt;="&amp;DATE(2021,11,1),'Quote Log'!$C:$C,"&lt;="&amp;DATE(2021,11,31),'Quote Log'!$B:$B,"=LOST")</f>
        <v>0</v>
      </c>
      <c r="L12">
        <f>COUNTIFS('Quote Log'!$B:$B,"&lt;&gt;VOID",'Quote Log'!$B:$B,"&lt;&gt;Requoted",'Quote Log'!$C:$C,"&gt;="&amp;DATE(2021,11,1),'Quote Log'!$C:$C,"&lt;="&amp;DATE(2021,11,31),'Quote Log'!$V:$V,"=new")</f>
        <v>0</v>
      </c>
      <c r="M12" s="349" t="e">
        <f t="shared" si="6"/>
        <v>#DIV/0!</v>
      </c>
      <c r="N12" s="339" t="e">
        <f t="shared" si="7"/>
        <v>#N/A</v>
      </c>
      <c r="O12" s="358">
        <f>SUMIFS('Quote Log'!$AB:$AB,'Quote Log'!$C:$C,"&gt;="&amp;DATE(2021,11,1),'Quote Log'!$C:$C,"&lt;="&amp;DATE(2021,11,31),'Quote Log'!$B:$B,"=Purchased",'Quote Log'!$AB:$AB,"&lt;&gt;#VALUE!")</f>
        <v>0</v>
      </c>
      <c r="P12" s="358" t="e">
        <f t="shared" si="8"/>
        <v>#N/A</v>
      </c>
      <c r="Q12" s="358" t="e">
        <f>NA()</f>
        <v>#N/A</v>
      </c>
      <c r="R12" s="349" t="e">
        <f t="shared" si="9"/>
        <v>#N/A</v>
      </c>
      <c r="S12" s="358">
        <f>SUMIFS('Quote Log'!$AB:$AB,'Quote Log'!$C:$C,"&gt;="&amp;DATE(2021,11,1),'Quote Log'!$C:$C,"&lt;="&amp;DATE(2021,11,31),'Quote Log'!$B:$B,"=Purchased",'Quote Log'!$AB:$AB,"&lt;&gt;#VALUE!")+S11</f>
        <v>0</v>
      </c>
      <c r="T12" s="358" t="e">
        <f t="shared" si="10"/>
        <v>#N/A</v>
      </c>
      <c r="U12" s="349" t="e">
        <f>NA()</f>
        <v>#N/A</v>
      </c>
      <c r="V12" s="349" t="e">
        <f t="shared" si="11"/>
        <v>#N/A</v>
      </c>
      <c r="W12">
        <f>COUNTIFS('Quote Log'!$B:$B,"&lt;&gt;VOID",'Quote Log'!$B:$B,"&lt;&gt;Requoted",'Quote Log'!$C:$C,"&gt;="&amp;DATE(2021,11,1),'Quote Log'!$C:$C,"&lt;="&amp;DATE(2021,11,31),'Quote Log'!$AK:$AK,"=Web Unknown")</f>
        <v>0</v>
      </c>
      <c r="X12">
        <f>COUNTIFS('Quote Log'!$B:$B,"&lt;&gt;VOID",'Quote Log'!$B:$B,"&lt;&gt;Requoted",'Quote Log'!$C:$C,"&gt;="&amp;DATE(2021,11,1),'Quote Log'!$C:$C,"&lt;="&amp;DATE(2021,11,31),'Quote Log'!$AK:$AK,"=Google")</f>
        <v>0</v>
      </c>
      <c r="Y12">
        <f>COUNTIFS('Quote Log'!$B:$B,"&lt;&gt;VOID",'Quote Log'!$B:$B,"&lt;&gt;Requoted",'Quote Log'!$C:$C,"&gt;="&amp;DATE(2021,11,1),'Quote Log'!$C:$C,"&lt;="&amp;DATE(2021,11,31),'Quote Log'!$AK:$AK,"=Linked-In")</f>
        <v>0</v>
      </c>
      <c r="Z12">
        <f>COUNTIFS('Quote Log'!$B:$B,"&lt;&gt;VOID",'Quote Log'!$B:$B,"&lt;&gt;Requoted",'Quote Log'!$C:$C,"&gt;="&amp;DATE(2021,11,1),'Quote Log'!$C:$C,"&lt;="&amp;DATE(2021,11,31),'Quote Log'!$AK:$AK,"=Thomasnet")</f>
        <v>0</v>
      </c>
      <c r="AA12">
        <f t="shared" si="12"/>
        <v>0</v>
      </c>
      <c r="AB12">
        <f>COUNTIFS('Quote Log'!$B:$B,"&lt;&gt;VOID",'Quote Log'!$B:$B,"&lt;&gt;Requoted",'Quote Log'!$C:$C,"&gt;="&amp;DATE(2021,11,1),'Quote Log'!$C:$C,"&lt;="&amp;DATE(2021,11,31),'Quote Log'!$AK:$AK,"=Phone Call")</f>
        <v>0</v>
      </c>
      <c r="AC12">
        <f>COUNTIFS('Quote Log'!$B:$B,"&lt;&gt;VOID",'Quote Log'!$B:$B,"&lt;&gt;Requoted",'Quote Log'!$C:$C,"&gt;="&amp;DATE(2021,11,1),'Quote Log'!$C:$C,"&lt;="&amp;DATE(2021,11,31),'Quote Log'!$AK:$AK,"=Trade Show")</f>
        <v>0</v>
      </c>
      <c r="AD12">
        <f>COUNTIFS('Quote Log'!$B:$B,"&lt;&gt;VOID",'Quote Log'!$B:$B,"&lt;&gt;Requoted",'Quote Log'!$C:$C,"&gt;="&amp;DATE(2021,11,1),'Quote Log'!$C:$C,"&lt;="&amp;DATE(2021,11,31),'Quote Log'!$AK:$AK,"=Referral")</f>
        <v>0</v>
      </c>
      <c r="AE12" s="350" t="e">
        <f t="shared" si="13"/>
        <v>#N/A</v>
      </c>
      <c r="AF12">
        <f>COUNTIFS('Quote Log'!$B:$B,"&lt;&gt;VOID",'Quote Log'!$B:$B,"&lt;&gt;",'Quote Log'!$B:$B,"&lt;&gt;Cathy",'Quote Log'!$B:$B,"&lt;&gt;Larry",'Quote Log'!$B:$B,"&lt;&gt;LOST",'Quote Log'!$B:$B,"&lt;&gt;Purchased",'Quote Log'!$B:$B,"&lt;&gt;Max",'Quote Log'!$B:$B,"&lt;&gt;Quote Sent",'Quote Log'!$B:$B,"&lt;&gt;ISSUE",'Quote Log'!$B:$B,"&lt;&gt;Requoted",'Quote Log'!$C:$C,"&gt;="&amp;DATE(2021,11,1),'Quote Log'!$C:$C,"&lt;="&amp;DATE(2021,11,31))</f>
        <v>0</v>
      </c>
      <c r="AG12" s="350" t="e">
        <f t="shared" si="14"/>
        <v>#N/A</v>
      </c>
      <c r="AH12" s="358">
        <f>SUMIFS('Quote Log'!$AB:$AB,'Quote Log'!$B:$B,"=Quote Sent",'Quote Log'!$C:$C,"&gt;="&amp;DATE(2021,11,1),'Quote Log'!$C:$C,"&lt;="&amp;DATE(2021,11,31),'Quote Log'!$AB:$AB,"&lt;&gt;#VALUE!")</f>
        <v>0</v>
      </c>
      <c r="AI12" s="358" t="e">
        <f t="shared" si="15"/>
        <v>#N/A</v>
      </c>
      <c r="AJ12" s="358">
        <f>SUMIFS('Quote Log'!$AB:$AB,'Quote Log'!$B:$B,"=LOST",'Quote Log'!$C:$C,"&gt;="&amp;DATE(2021,11,1),'Quote Log'!$C:$C,"&lt;="&amp;DATE(2021,11,31),'Quote Log'!$AB:$AB,"&lt;&gt;#VALUE!")</f>
        <v>0</v>
      </c>
      <c r="AK12" s="358" t="e">
        <f t="shared" si="16"/>
        <v>#N/A</v>
      </c>
      <c r="AM12" s="339"/>
      <c r="AZ12" t="s">
        <v>1538</v>
      </c>
    </row>
    <row r="13" spans="1:63" x14ac:dyDescent="0.25">
      <c r="A13" s="338">
        <v>44531</v>
      </c>
      <c r="B13">
        <f>COUNTIFS('Quote Log'!$B:$B,"&lt;&gt;VOID",'Quote Log'!$B:$B,"&lt;&gt;Requoted",'Quote Log'!$C:$C,"&gt;="&amp;DATE(2021,12,1),'Quote Log'!$C:$C,"&lt;="&amp;DATE(2021,12,31),'Quote Log'!$B:$B,"&lt;&gt;VOID",'Quote Log'!$B:$B,"&lt;&gt;Requoted")</f>
        <v>0</v>
      </c>
      <c r="C13" t="e">
        <f t="shared" si="0"/>
        <v>#N/A</v>
      </c>
      <c r="D13">
        <f>COUNTIFS('Quote Log'!$B:$B,"&lt;&gt;VOID",'Quote Log'!$B:$B,"&lt;&gt;Requoted",'Quote Log'!$H:$H,"&gt;="&amp;DATE(2021,12,1),'Quote Log'!$H:$H,"&lt;="&amp;DATE(2021,12,31))</f>
        <v>0</v>
      </c>
      <c r="E13" t="e">
        <f t="shared" si="1"/>
        <v>#N/A</v>
      </c>
      <c r="F13" t="e">
        <f t="shared" si="2"/>
        <v>#N/A</v>
      </c>
      <c r="G13">
        <f>COUNTIFS('Quote Log'!$C:$C,"&gt;="&amp;DATE(2021,12,1),'Quote Log'!$C:$C,"&lt;="&amp;DATE(2021,12,31),'Quote Log'!$B:$B,"=Purchased")</f>
        <v>0</v>
      </c>
      <c r="H13" s="350" t="e">
        <f t="shared" si="3"/>
        <v>#N/A</v>
      </c>
      <c r="I13" s="349" t="e">
        <f t="shared" si="4"/>
        <v>#DIV/0!</v>
      </c>
      <c r="J13" s="349" t="e">
        <f t="shared" si="5"/>
        <v>#N/A</v>
      </c>
      <c r="K13">
        <f>COUNTIFS('Quote Log'!$C:$C,"&gt;="&amp;DATE(2021,12,1),'Quote Log'!$C:$C,"&lt;="&amp;DATE(2021,12,31),'Quote Log'!$B:$B,"=LOST")</f>
        <v>0</v>
      </c>
      <c r="L13">
        <f>COUNTIFS('Quote Log'!$B:$B,"&lt;&gt;VOID",'Quote Log'!$B:$B,"&lt;&gt;Requoted",'Quote Log'!$C:$C,"&gt;="&amp;DATE(2021,12,1),'Quote Log'!$C:$C,"&lt;="&amp;DATE(2021,12,31),'Quote Log'!$V:$V,"=new")</f>
        <v>0</v>
      </c>
      <c r="M13" s="349" t="e">
        <f t="shared" si="6"/>
        <v>#DIV/0!</v>
      </c>
      <c r="N13" s="339" t="e">
        <f t="shared" si="7"/>
        <v>#N/A</v>
      </c>
      <c r="O13" s="358">
        <f>SUMIFS('Quote Log'!$AB:$AB,'Quote Log'!$C:$C,"&gt;="&amp;DATE(2021,12,1),'Quote Log'!$C:$C,"&lt;="&amp;DATE(2021,12,31),'Quote Log'!$B:$B,"=Purchased",'Quote Log'!$AB:$AB,"&lt;&gt;#VALUE!")</f>
        <v>0</v>
      </c>
      <c r="P13" s="358" t="e">
        <f t="shared" si="8"/>
        <v>#N/A</v>
      </c>
      <c r="Q13" s="358" t="e">
        <f>NA()</f>
        <v>#N/A</v>
      </c>
      <c r="R13" s="349" t="e">
        <f t="shared" si="9"/>
        <v>#N/A</v>
      </c>
      <c r="S13" s="358">
        <f>SUMIFS('Quote Log'!$AB:$AB,'Quote Log'!$C:$C,"&gt;="&amp;DATE(2021,12,1),'Quote Log'!$C:$C,"&lt;="&amp;DATE(2021,12,31),'Quote Log'!$B:$B,"=Purchased",'Quote Log'!$AB:$AB,"&lt;&gt;#VALUE!")+S12</f>
        <v>0</v>
      </c>
      <c r="T13" s="358" t="e">
        <f t="shared" si="10"/>
        <v>#N/A</v>
      </c>
      <c r="U13" s="349" t="e">
        <f>NA()</f>
        <v>#N/A</v>
      </c>
      <c r="V13" s="349" t="e">
        <f t="shared" si="11"/>
        <v>#N/A</v>
      </c>
      <c r="W13">
        <f>COUNTIFS('Quote Log'!$B:$B,"&lt;&gt;VOID",'Quote Log'!$B:$B,"&lt;&gt;Requoted",'Quote Log'!$C:$C,"&gt;="&amp;DATE(2021,12,1),'Quote Log'!$C:$C,"&lt;="&amp;DATE(2021,12,31),'Quote Log'!$AK:$AK,"=Web Unknown")</f>
        <v>0</v>
      </c>
      <c r="X13">
        <f>COUNTIFS('Quote Log'!$B:$B,"&lt;&gt;VOID",'Quote Log'!$B:$B,"&lt;&gt;Requoted",'Quote Log'!$C:$C,"&gt;="&amp;DATE(2021,12,1),'Quote Log'!$C:$C,"&lt;="&amp;DATE(2021,12,31),'Quote Log'!$AK:$AK,"=Google")</f>
        <v>0</v>
      </c>
      <c r="Y13">
        <f>COUNTIFS('Quote Log'!$B:$B,"&lt;&gt;VOID",'Quote Log'!$B:$B,"&lt;&gt;Requoted",'Quote Log'!$C:$C,"&gt;="&amp;DATE(2021,12,1),'Quote Log'!$C:$C,"&lt;="&amp;DATE(2021,12,31),'Quote Log'!$AK:$AK,"=Linked-In")</f>
        <v>0</v>
      </c>
      <c r="Z13">
        <f>COUNTIFS('Quote Log'!$B:$B,"&lt;&gt;VOID",'Quote Log'!$B:$B,"&lt;&gt;Requoted",'Quote Log'!$C:$C,"&gt;="&amp;DATE(2021,12,1),'Quote Log'!$C:$C,"&lt;="&amp;DATE(2021,12,31),'Quote Log'!$AK:$AK,"=Thomasnet")</f>
        <v>0</v>
      </c>
      <c r="AA13">
        <f t="shared" si="12"/>
        <v>0</v>
      </c>
      <c r="AB13">
        <f>COUNTIFS('Quote Log'!$B:$B,"&lt;&gt;VOID",'Quote Log'!$B:$B,"&lt;&gt;Requoted",'Quote Log'!$C:$C,"&gt;="&amp;DATE(2021,12,1),'Quote Log'!$C:$C,"&lt;="&amp;DATE(2021,12,31),'Quote Log'!$AK:$AK,"=Phone Call")</f>
        <v>0</v>
      </c>
      <c r="AC13">
        <f>COUNTIFS('Quote Log'!$B:$B,"&lt;&gt;VOID",'Quote Log'!$B:$B,"&lt;&gt;Requoted",'Quote Log'!$C:$C,"&gt;="&amp;DATE(2021,12,1),'Quote Log'!$C:$C,"&lt;="&amp;DATE(2021,12,31),'Quote Log'!$AK:$AK,"=Trade Show")</f>
        <v>0</v>
      </c>
      <c r="AD13">
        <f>COUNTIFS('Quote Log'!$B:$B,"&lt;&gt;VOID",'Quote Log'!$B:$B,"&lt;&gt;Requoted",'Quote Log'!$C:$C,"&gt;="&amp;DATE(2021,12,1),'Quote Log'!$C:$C,"&lt;="&amp;DATE(2021,12,31),'Quote Log'!$AK:$AK,"=Referral")</f>
        <v>0</v>
      </c>
      <c r="AE13" s="350" t="e">
        <f t="shared" si="13"/>
        <v>#N/A</v>
      </c>
      <c r="AF13">
        <f>COUNTIFS('Quote Log'!$B:$B,"&lt;&gt;VOID",'Quote Log'!$B:$B,"&lt;&gt;",'Quote Log'!$B:$B,"&lt;&gt;Cathy",'Quote Log'!$B:$B,"&lt;&gt;Larry",'Quote Log'!$B:$B,"&lt;&gt;LOST",'Quote Log'!$B:$B,"&lt;&gt;Purchased",'Quote Log'!$B:$B,"&lt;&gt;Max",'Quote Log'!$B:$B,"&lt;&gt;Quote Sent",'Quote Log'!$B:$B,"&lt;&gt;ISSUE",'Quote Log'!$B:$B,"&lt;&gt;Requoted",'Quote Log'!$C:$C,"&gt;="&amp;DATE(2021,12,1),'Quote Log'!$C:$C,"&lt;="&amp;DATE(2021,12,31))</f>
        <v>0</v>
      </c>
      <c r="AG13" s="350" t="e">
        <f t="shared" si="14"/>
        <v>#N/A</v>
      </c>
      <c r="AH13" s="358">
        <f>SUMIFS('Quote Log'!$AB:$AB,'Quote Log'!$B:$B,"=Quote Sent",'Quote Log'!$C:$C,"&gt;="&amp;DATE(2021,12,1),'Quote Log'!$C:$C,"&lt;="&amp;DATE(2021,12,31),'Quote Log'!$AB:$AB,"&lt;&gt;#VALUE!")</f>
        <v>0</v>
      </c>
      <c r="AI13" s="358" t="e">
        <f t="shared" si="15"/>
        <v>#N/A</v>
      </c>
      <c r="AJ13" s="358">
        <f>SUMIFS('Quote Log'!$AB:$AB,'Quote Log'!$B:$B,"=LOST",'Quote Log'!$C:$C,"&gt;="&amp;DATE(2021,12,1),'Quote Log'!$C:$C,"&lt;="&amp;DATE(2021,12,31),'Quote Log'!$AB:$AB,"&lt;&gt;#VALUE!")</f>
        <v>0</v>
      </c>
      <c r="AK13" s="358" t="e">
        <f t="shared" si="16"/>
        <v>#N/A</v>
      </c>
      <c r="AM13" s="339"/>
      <c r="AZ13" t="s">
        <v>1539</v>
      </c>
    </row>
    <row r="14" spans="1:63" x14ac:dyDescent="0.25">
      <c r="A14" s="338">
        <v>44562</v>
      </c>
      <c r="B14">
        <f>COUNTIFS('Quote Log'!$B:$B,"&lt;&gt;VOID",'Quote Log'!$B:$B,"&lt;&gt;Requoted",'Quote Log'!$C:$C,"&gt;="&amp;DATE(2022,1,1),'Quote Log'!$C:$C,"&lt;="&amp;DATE(2022,1,31),'Quote Log'!$B:$B,"&lt;&gt;VOID",'Quote Log'!$B:$B,"&lt;&gt;Requoted")</f>
        <v>0</v>
      </c>
      <c r="C14" t="e">
        <f t="shared" ref="C14:C25" si="17">IF($AO$3,B14,NA())</f>
        <v>#N/A</v>
      </c>
      <c r="D14">
        <f>COUNTIFS('Quote Log'!$B:$B,"&lt;&gt;VOID",'Quote Log'!$B:$B,"&lt;&gt;Requoted",'Quote Log'!$H:$H,"&gt;="&amp;DATE(2022,1,1),'Quote Log'!$H:$H,"&lt;="&amp;DATE(2022,1,31))</f>
        <v>0</v>
      </c>
      <c r="E14" t="e">
        <f t="shared" ref="E14:E25" si="18">IF($AO$3,D14,NA())</f>
        <v>#N/A</v>
      </c>
      <c r="F14" t="e">
        <f t="shared" ref="F14:F25" si="19">IF(AO$3,G14,NA())</f>
        <v>#N/A</v>
      </c>
      <c r="G14">
        <f>COUNTIFS('Quote Log'!$C:$C,"&gt;="&amp;DATE(2022,1,1),'Quote Log'!$C:$C,"&lt;="&amp;DATE(2022,1,31),'Quote Log'!$B:$B,"=Purchased")</f>
        <v>0</v>
      </c>
      <c r="H14" s="350" t="e">
        <f t="shared" ref="H14:H25" si="20">IF($AO$3,G14,NA())</f>
        <v>#N/A</v>
      </c>
      <c r="I14" s="349" t="e">
        <f t="shared" si="4"/>
        <v>#DIV/0!</v>
      </c>
      <c r="J14" s="349" t="e">
        <f t="shared" ref="J14:J25" si="21">IF($AO$3,F14/B14,NA())</f>
        <v>#N/A</v>
      </c>
      <c r="K14">
        <f>COUNTIFS('Quote Log'!$C:$C,"&gt;="&amp;DATE(2022,1,1),'Quote Log'!$C:$C,"&lt;="&amp;DATE(2022,1,31),'Quote Log'!$B:$B,"=LOST")</f>
        <v>0</v>
      </c>
      <c r="L14">
        <f>COUNTIFS('Quote Log'!$B:$B,"&lt;&gt;VOID",'Quote Log'!$B:$B,"&lt;&gt;Requoted",'Quote Log'!$C:$C,"&gt;="&amp;DATE(2022,1,1),'Quote Log'!$C:$C,"&lt;="&amp;DATE(2022,1,31),'Quote Log'!$V:$V,"=new")</f>
        <v>0</v>
      </c>
      <c r="M14" s="349" t="e">
        <f t="shared" si="6"/>
        <v>#DIV/0!</v>
      </c>
      <c r="N14" s="339" t="e">
        <f t="shared" ref="N14:N25" si="22">IF($AO$3,M14,NA())</f>
        <v>#N/A</v>
      </c>
      <c r="O14" s="358">
        <f>SUMIFS('Quote Log'!$AB:$AB,'Quote Log'!$C:$C,"&gt;="&amp;DATE(2022,1,1),'Quote Log'!$C:$C,"&lt;="&amp;DATE(2022,1,31),'Quote Log'!$B:$B,"=Purchased",'Quote Log'!$AB:$AB,"&lt;&gt;#VALUE!")</f>
        <v>0</v>
      </c>
      <c r="P14" s="358" t="e">
        <f t="shared" ref="P14:P25" si="23">IF($AO$3,O14,NA())</f>
        <v>#N/A</v>
      </c>
      <c r="Q14" s="349" t="e">
        <f t="shared" ref="Q14:Q50" si="24">(O14-O2)/O2</f>
        <v>#DIV/0!</v>
      </c>
      <c r="R14" s="349" t="e">
        <f t="shared" ref="R14:R25" si="25">IF($AO$3,Q14,NA())</f>
        <v>#N/A</v>
      </c>
      <c r="S14" s="358">
        <f>SUMIFS('Quote Log'!$AB:$AB,'Quote Log'!$C:$C,"&gt;="&amp;DATE(2022,1,1),'Quote Log'!$C:$C,"&lt;="&amp;DATE(2022,1,31),'Quote Log'!$B:$B,"=Purchased",'Quote Log'!$AB:$AB,"&lt;&gt;#VALUE!")</f>
        <v>0</v>
      </c>
      <c r="T14" s="358" t="e">
        <f t="shared" ref="T14:T25" si="26">IF($AO$3,S14,NA())</f>
        <v>#N/A</v>
      </c>
      <c r="U14" s="349" t="e">
        <f t="shared" ref="U14:U50" si="27">(S14-S2)/S2</f>
        <v>#DIV/0!</v>
      </c>
      <c r="V14" s="349" t="e">
        <f t="shared" ref="V14:V25" si="28">IF($AO$3,U14,NA())</f>
        <v>#N/A</v>
      </c>
      <c r="W14">
        <f>COUNTIFS('Quote Log'!$B:$B,"&lt;&gt;VOID",'Quote Log'!$B:$B,"&lt;&gt;Requoted",'Quote Log'!$C:$C,"&gt;="&amp;DATE(2022,1,1),'Quote Log'!$C:$C,"&lt;="&amp;DATE(2022,1,31),'Quote Log'!$AK:$AK,"=Web Unknown")</f>
        <v>0</v>
      </c>
      <c r="X14">
        <f>COUNTIFS('Quote Log'!$B:$B,"&lt;&gt;VOID",'Quote Log'!$B:$B,"&lt;&gt;Requoted",'Quote Log'!$C:$C,"&gt;="&amp;DATE(2022,1,1),'Quote Log'!$C:$C,"&lt;="&amp;DATE(2022,1,31),'Quote Log'!$AK:$AK,"=Google")</f>
        <v>0</v>
      </c>
      <c r="Y14">
        <f>COUNTIFS('Quote Log'!$B:$B,"&lt;&gt;VOID",'Quote Log'!$B:$B,"&lt;&gt;Requoted",'Quote Log'!$C:$C,"&gt;="&amp;DATE(2022,1,1),'Quote Log'!$C:$C,"&lt;="&amp;DATE(2022,1,31),'Quote Log'!$AK:$AK,"=Linked-In")</f>
        <v>0</v>
      </c>
      <c r="Z14">
        <f>COUNTIFS('Quote Log'!$B:$B,"&lt;&gt;VOID",'Quote Log'!$B:$B,"&lt;&gt;Requoted",'Quote Log'!$C:$C,"&gt;="&amp;DATE(2022,1,1),'Quote Log'!$C:$C,"&lt;="&amp;DATE(2022,1,31),'Quote Log'!$AK:$AK,"=Thomasnet")</f>
        <v>0</v>
      </c>
      <c r="AA14">
        <f t="shared" si="12"/>
        <v>0</v>
      </c>
      <c r="AB14">
        <f>COUNTIFS('Quote Log'!$B:$B,"&lt;&gt;VOID",'Quote Log'!$B:$B,"&lt;&gt;Requoted",'Quote Log'!$C:$C,"&gt;="&amp;DATE(2022,1,1),'Quote Log'!$C:$C,"&lt;="&amp;DATE(2022,1,31),'Quote Log'!$AK:$AK,"=Phone Call")</f>
        <v>0</v>
      </c>
      <c r="AC14">
        <f>COUNTIFS('Quote Log'!$B:$B,"&lt;&gt;VOID",'Quote Log'!$B:$B,"&lt;&gt;Requoted",'Quote Log'!$C:$C,"&gt;="&amp;DATE(2022,1,1),'Quote Log'!$C:$C,"&lt;="&amp;DATE(2022,1,31),'Quote Log'!$AK:$AK,"=Trade Show")</f>
        <v>0</v>
      </c>
      <c r="AD14">
        <f>COUNTIFS('Quote Log'!$B:$B,"&lt;&gt;VOID",'Quote Log'!$B:$B,"&lt;&gt;Requoted",'Quote Log'!$C:$C,"&gt;="&amp;DATE(2022,1,1),'Quote Log'!$C:$C,"&lt;="&amp;DATE(2022,1,31),'Quote Log'!$AK:$AK,"=Referral")</f>
        <v>0</v>
      </c>
      <c r="AE14" s="350" t="e">
        <f t="shared" ref="AE14:AE25" si="29">IF($AO$3,W14,NA())</f>
        <v>#N/A</v>
      </c>
      <c r="AF14">
        <f>COUNTIFS('Quote Log'!$B:$B,"&lt;&gt;VOID",'Quote Log'!$B:$B,"&lt;&gt;",'Quote Log'!$B:$B,"&lt;&gt;Cathy",'Quote Log'!$B:$B,"&lt;&gt;Larry",'Quote Log'!$B:$B,"&lt;&gt;LOST",'Quote Log'!$B:$B,"&lt;&gt;Purchased",'Quote Log'!$B:$B,"&lt;&gt;Max",'Quote Log'!$B:$B,"&lt;&gt;Quote Sent",'Quote Log'!$B:$B,"&lt;&gt;ISSUE",'Quote Log'!$B:$B,"&lt;&gt;Requoted",'Quote Log'!$C:$C,"&gt;="&amp;DATE(2022,1,1),'Quote Log'!$C:$C,"&lt;="&amp;DATE(2022,1,31))</f>
        <v>0</v>
      </c>
      <c r="AG14" s="350" t="e">
        <f t="shared" ref="AG14:AG25" si="30">IF($AO$3,AF14,NA())</f>
        <v>#N/A</v>
      </c>
      <c r="AH14" s="358">
        <f>SUMIFS('Quote Log'!$AB:$AB,'Quote Log'!$B:$B,"=Quote Sent",'Quote Log'!$C:$C,"&gt;="&amp;DATE(2022,1,1),'Quote Log'!$C:$C,"&lt;="&amp;DATE(2022,1,31),'Quote Log'!$AB:$AB,"&lt;&gt;#VALUE!")</f>
        <v>0</v>
      </c>
      <c r="AI14" s="358" t="e">
        <f t="shared" ref="AI14:AI25" si="31">IF($AO$3,AH14,NA())</f>
        <v>#N/A</v>
      </c>
      <c r="AJ14" s="358">
        <f>SUMIFS('Quote Log'!$AB:$AB,'Quote Log'!$B:$B,"=LOST",'Quote Log'!$C:$C,"&gt;="&amp;DATE(2022,1,1),'Quote Log'!$C:$C,"&lt;="&amp;DATE(2022,1,31),'Quote Log'!$AB:$AB,"&lt;&gt;#VALUE!")</f>
        <v>0</v>
      </c>
      <c r="AK14" s="358" t="e">
        <f t="shared" ref="AK14:AK25" si="32">IF($AO$3,AJ14,NA())</f>
        <v>#N/A</v>
      </c>
      <c r="AM14" s="339"/>
    </row>
    <row r="15" spans="1:63" x14ac:dyDescent="0.25">
      <c r="A15" s="338">
        <v>44593</v>
      </c>
      <c r="B15">
        <f>COUNTIFS('Quote Log'!$B:$B,"&lt;&gt;VOID",'Quote Log'!$B:$B,"&lt;&gt;Requoted",'Quote Log'!$C:$C,"&gt;="&amp;DATE(2022,2,1),'Quote Log'!$C:$C,"&lt;="&amp;DATE(2022,2,28),'Quote Log'!$B:$B,"&lt;&gt;VOID",'Quote Log'!$B:$B,"&lt;&gt;Requoted")</f>
        <v>0</v>
      </c>
      <c r="C15" t="e">
        <f t="shared" si="17"/>
        <v>#N/A</v>
      </c>
      <c r="D15">
        <f>COUNTIFS('Quote Log'!$B:$B,"&lt;&gt;VOID",'Quote Log'!$B:$B,"&lt;&gt;Requoted",'Quote Log'!$H:$H,"&gt;="&amp;DATE(2022,2,1),'Quote Log'!$H:$H,"&lt;="&amp;DATE(2022,2,28))</f>
        <v>0</v>
      </c>
      <c r="E15" t="e">
        <f t="shared" si="18"/>
        <v>#N/A</v>
      </c>
      <c r="F15" t="e">
        <f t="shared" si="19"/>
        <v>#N/A</v>
      </c>
      <c r="G15">
        <f>COUNTIFS('Quote Log'!$C:$C,"&gt;="&amp;DATE(2022,2,1),'Quote Log'!$C:$C,"&lt;="&amp;DATE(2022,2,28),'Quote Log'!$B:$B,"=Purchased")</f>
        <v>0</v>
      </c>
      <c r="H15" s="350" t="e">
        <f t="shared" si="20"/>
        <v>#N/A</v>
      </c>
      <c r="I15" s="349" t="e">
        <f t="shared" si="4"/>
        <v>#DIV/0!</v>
      </c>
      <c r="J15" s="349" t="e">
        <f t="shared" si="21"/>
        <v>#N/A</v>
      </c>
      <c r="K15">
        <f>COUNTIFS('Quote Log'!$C:$C,"&gt;="&amp;DATE(2022,2,1),'Quote Log'!$C:$C,"&lt;="&amp;DATE(2022,2,28),'Quote Log'!$B:$B,"=LOST")</f>
        <v>0</v>
      </c>
      <c r="L15">
        <f>COUNTIFS('Quote Log'!$B:$B,"&lt;&gt;VOID",'Quote Log'!$B:$B,"&lt;&gt;Requoted",'Quote Log'!$C:$C,"&gt;="&amp;DATE(2022,2,1),'Quote Log'!$C:$C,"&lt;="&amp;DATE(2022,2,28),'Quote Log'!$V:$V,"=new")</f>
        <v>0</v>
      </c>
      <c r="M15" s="349" t="e">
        <f t="shared" si="6"/>
        <v>#DIV/0!</v>
      </c>
      <c r="N15" s="339" t="e">
        <f t="shared" si="22"/>
        <v>#N/A</v>
      </c>
      <c r="O15" s="358">
        <f>SUMIFS('Quote Log'!$AB:$AB,'Quote Log'!$C:$C,"&gt;="&amp;DATE(2022,2,1),'Quote Log'!$C:$C,"&lt;="&amp;DATE(2022,2,28),'Quote Log'!$B:$B,"=Purchased",'Quote Log'!$AB:$AB,"&lt;&gt;#VALUE!")</f>
        <v>0</v>
      </c>
      <c r="P15" s="358" t="e">
        <f t="shared" si="23"/>
        <v>#N/A</v>
      </c>
      <c r="Q15" s="349" t="e">
        <f t="shared" si="24"/>
        <v>#DIV/0!</v>
      </c>
      <c r="R15" s="349" t="e">
        <f t="shared" si="25"/>
        <v>#N/A</v>
      </c>
      <c r="S15" s="358">
        <f>SUMIFS('Quote Log'!$AB:$AB,'Quote Log'!$C:$C,"&gt;="&amp;DATE(2022,2,1),'Quote Log'!$C:$C,"&lt;="&amp;DATE(2022,2,28),'Quote Log'!$B:$B,"=Purchased",'Quote Log'!$AB:$AB,"&lt;&gt;#VALUE!")+S14</f>
        <v>0</v>
      </c>
      <c r="T15" s="358" t="e">
        <f t="shared" si="26"/>
        <v>#N/A</v>
      </c>
      <c r="U15" s="349" t="e">
        <f t="shared" si="27"/>
        <v>#DIV/0!</v>
      </c>
      <c r="V15" s="349" t="e">
        <f t="shared" si="28"/>
        <v>#N/A</v>
      </c>
      <c r="W15">
        <f>COUNTIFS('Quote Log'!$B:$B,"&lt;&gt;VOID",'Quote Log'!$B:$B,"&lt;&gt;Requoted",'Quote Log'!$C:$C,"&gt;="&amp;DATE(2022,2,1),'Quote Log'!$C:$C,"&lt;="&amp;DATE(2022,2,28),'Quote Log'!$AK:$AK,"=Web Unknown")</f>
        <v>0</v>
      </c>
      <c r="X15">
        <f>COUNTIFS('Quote Log'!$B:$B,"&lt;&gt;VOID",'Quote Log'!$B:$B,"&lt;&gt;Requoted",'Quote Log'!$C:$C,"&gt;="&amp;DATE(2022,2,1),'Quote Log'!$C:$C,"&lt;="&amp;DATE(2022,2,28),'Quote Log'!$AK:$AK,"=Google")</f>
        <v>0</v>
      </c>
      <c r="Y15">
        <f>COUNTIFS('Quote Log'!$B:$B,"&lt;&gt;VOID",'Quote Log'!$B:$B,"&lt;&gt;Requoted",'Quote Log'!$C:$C,"&gt;="&amp;DATE(2022,2,1),'Quote Log'!$C:$C,"&lt;="&amp;DATE(2022,2,28),'Quote Log'!$AK:$AK,"=Linked-In")</f>
        <v>0</v>
      </c>
      <c r="Z15">
        <f>COUNTIFS('Quote Log'!$B:$B,"&lt;&gt;VOID",'Quote Log'!$B:$B,"&lt;&gt;Requoted",'Quote Log'!$C:$C,"&gt;="&amp;DATE(2022,2,1),'Quote Log'!$C:$C,"&lt;="&amp;DATE(2022,2,28),'Quote Log'!$AK:$AK,"=Thomasnet")</f>
        <v>0</v>
      </c>
      <c r="AA15">
        <f t="shared" si="12"/>
        <v>0</v>
      </c>
      <c r="AB15">
        <f>COUNTIFS('Quote Log'!$B:$B,"&lt;&gt;VOID",'Quote Log'!$B:$B,"&lt;&gt;Requoted",'Quote Log'!$C:$C,"&gt;="&amp;DATE(2022,2,1),'Quote Log'!$C:$C,"&lt;="&amp;DATE(2022,2,28),'Quote Log'!$AK:$AK,"=Phone Call")</f>
        <v>0</v>
      </c>
      <c r="AC15">
        <f>COUNTIFS('Quote Log'!$B:$B,"&lt;&gt;VOID",'Quote Log'!$B:$B,"&lt;&gt;Requoted",'Quote Log'!$C:$C,"&gt;="&amp;DATE(2022,2,1),'Quote Log'!$C:$C,"&lt;="&amp;DATE(2022,2,28),'Quote Log'!$AK:$AK,"=Trade Show")</f>
        <v>0</v>
      </c>
      <c r="AD15">
        <f>COUNTIFS('Quote Log'!$B:$B,"&lt;&gt;VOID",'Quote Log'!$B:$B,"&lt;&gt;Requoted",'Quote Log'!$C:$C,"&gt;="&amp;DATE(2022,2,1),'Quote Log'!$C:$C,"&lt;="&amp;DATE(2022,2,28),'Quote Log'!$AK:$AK,"=Referral")</f>
        <v>0</v>
      </c>
      <c r="AE15" s="350" t="e">
        <f t="shared" si="29"/>
        <v>#N/A</v>
      </c>
      <c r="AF15">
        <f>COUNTIFS('Quote Log'!$B:$B,"&lt;&gt;VOID",'Quote Log'!$B:$B,"&lt;&gt;",'Quote Log'!$B:$B,"&lt;&gt;Cathy",'Quote Log'!$B:$B,"&lt;&gt;Larry",'Quote Log'!$B:$B,"&lt;&gt;LOST",'Quote Log'!$B:$B,"&lt;&gt;Purchased",'Quote Log'!$B:$B,"&lt;&gt;Max",'Quote Log'!$B:$B,"&lt;&gt;Quote Sent",'Quote Log'!$B:$B,"&lt;&gt;ISSUE",'Quote Log'!$B:$B,"&lt;&gt;Requoted",'Quote Log'!$C:$C,"&gt;="&amp;DATE(2022,2,1),'Quote Log'!$C:$C,"&lt;="&amp;DATE(2022,2,28))</f>
        <v>0</v>
      </c>
      <c r="AG15" s="350" t="e">
        <f t="shared" si="30"/>
        <v>#N/A</v>
      </c>
      <c r="AH15" s="358">
        <f>SUMIFS('Quote Log'!$AB:$AB,'Quote Log'!$B:$B,"=Quote Sent",'Quote Log'!$C:$C,"&gt;="&amp;DATE(2022,2,1),'Quote Log'!$C:$C,"&lt;="&amp;DATE(2022,2,28),'Quote Log'!$AB:$AB,"&lt;&gt;#VALUE!")</f>
        <v>0</v>
      </c>
      <c r="AI15" s="358" t="e">
        <f t="shared" si="31"/>
        <v>#N/A</v>
      </c>
      <c r="AJ15" s="358">
        <f>SUMIFS('Quote Log'!$AB:$AB,'Quote Log'!$B:$B,"=LOST",'Quote Log'!$C:$C,"&gt;="&amp;DATE(2022,2,1),'Quote Log'!$C:$C,"&lt;="&amp;DATE(2022,2,28),'Quote Log'!$AB:$AB,"&lt;&gt;#VALUE!")</f>
        <v>0</v>
      </c>
      <c r="AK15" s="358" t="e">
        <f t="shared" si="32"/>
        <v>#N/A</v>
      </c>
      <c r="AM15" s="339"/>
      <c r="AX15" t="s">
        <v>1540</v>
      </c>
    </row>
    <row r="16" spans="1:63" x14ac:dyDescent="0.25">
      <c r="A16" s="338">
        <v>44621</v>
      </c>
      <c r="B16">
        <f>COUNTIFS('Quote Log'!$B:$B,"&lt;&gt;VOID",'Quote Log'!$B:$B,"&lt;&gt;Requoted",'Quote Log'!$C:$C,"&gt;="&amp;DATE(2022,3,1),'Quote Log'!$C:$C,"&lt;="&amp;DATE(2022,3,31),'Quote Log'!$B:$B,"&lt;&gt;VOID",'Quote Log'!$B:$B,"&lt;&gt;Requoted")</f>
        <v>0</v>
      </c>
      <c r="C16" t="e">
        <f t="shared" si="17"/>
        <v>#N/A</v>
      </c>
      <c r="D16">
        <f>COUNTIFS('Quote Log'!$B:$B,"&lt;&gt;VOID",'Quote Log'!$B:$B,"&lt;&gt;Requoted",'Quote Log'!$H:$H,"&gt;="&amp;DATE(2022,3,1),'Quote Log'!$H:$H,"&lt;="&amp;DATE(2022,3,31))</f>
        <v>0</v>
      </c>
      <c r="E16" t="e">
        <f t="shared" si="18"/>
        <v>#N/A</v>
      </c>
      <c r="F16" t="e">
        <f t="shared" si="19"/>
        <v>#N/A</v>
      </c>
      <c r="G16">
        <f>COUNTIFS('Quote Log'!$C:$C,"&gt;="&amp;DATE(2022,3,1),'Quote Log'!$C:$C,"&lt;="&amp;DATE(2022,3,31),'Quote Log'!$B:$B,"=Purchased")</f>
        <v>0</v>
      </c>
      <c r="H16" s="350" t="e">
        <f t="shared" si="20"/>
        <v>#N/A</v>
      </c>
      <c r="I16" s="349" t="e">
        <f t="shared" si="4"/>
        <v>#DIV/0!</v>
      </c>
      <c r="J16" s="349" t="e">
        <f t="shared" si="21"/>
        <v>#N/A</v>
      </c>
      <c r="K16">
        <f>COUNTIFS('Quote Log'!$C:$C,"&gt;="&amp;DATE(2022,3,1),'Quote Log'!$C:$C,"&lt;="&amp;DATE(2022,3,31),'Quote Log'!$B:$B,"=LOST")</f>
        <v>0</v>
      </c>
      <c r="L16">
        <f>COUNTIFS('Quote Log'!$B:$B,"&lt;&gt;VOID",'Quote Log'!$B:$B,"&lt;&gt;Requoted",'Quote Log'!$C:$C,"&gt;="&amp;DATE(2022,3,1),'Quote Log'!$C:$C,"&lt;="&amp;DATE(2022,3,31),'Quote Log'!$V:$V,"=new")</f>
        <v>0</v>
      </c>
      <c r="M16" s="349" t="e">
        <f t="shared" si="6"/>
        <v>#DIV/0!</v>
      </c>
      <c r="N16" s="339" t="e">
        <f t="shared" si="22"/>
        <v>#N/A</v>
      </c>
      <c r="O16" s="358">
        <f>SUMIFS('Quote Log'!$AB:$AB,'Quote Log'!$C:$C,"&gt;="&amp;DATE(2022,3,1),'Quote Log'!$C:$C,"&lt;="&amp;DATE(2022,3,31),'Quote Log'!$B:$B,"=Purchased",'Quote Log'!$AB:$AB,"&lt;&gt;#VALUE!")</f>
        <v>0</v>
      </c>
      <c r="P16" s="358" t="e">
        <f t="shared" si="23"/>
        <v>#N/A</v>
      </c>
      <c r="Q16" s="349" t="e">
        <f t="shared" si="24"/>
        <v>#DIV/0!</v>
      </c>
      <c r="R16" s="349" t="e">
        <f t="shared" si="25"/>
        <v>#N/A</v>
      </c>
      <c r="S16" s="358">
        <f>SUMIFS('Quote Log'!$AB:$AB,'Quote Log'!$C:$C,"&gt;="&amp;DATE(2022,3,1),'Quote Log'!$C:$C,"&lt;="&amp;DATE(2022,3,31),'Quote Log'!$B:$B,"=Purchased",'Quote Log'!$AB:$AB,"&lt;&gt;#VALUE!")+S15</f>
        <v>0</v>
      </c>
      <c r="T16" s="358" t="e">
        <f t="shared" si="26"/>
        <v>#N/A</v>
      </c>
      <c r="U16" s="349" t="e">
        <f t="shared" si="27"/>
        <v>#DIV/0!</v>
      </c>
      <c r="V16" s="349" t="e">
        <f t="shared" si="28"/>
        <v>#N/A</v>
      </c>
      <c r="W16">
        <f>COUNTIFS('Quote Log'!$B:$B,"&lt;&gt;VOID",'Quote Log'!$B:$B,"&lt;&gt;Requoted",'Quote Log'!$C:$C,"&gt;="&amp;DATE(2022,3,1),'Quote Log'!$C:$C,"&lt;="&amp;DATE(2022,3,31),'Quote Log'!$AK:$AK,"=Web Unknown")</f>
        <v>0</v>
      </c>
      <c r="X16">
        <f>COUNTIFS('Quote Log'!$B:$B,"&lt;&gt;VOID",'Quote Log'!$B:$B,"&lt;&gt;Requoted",'Quote Log'!$C:$C,"&gt;="&amp;DATE(2022,3,1),'Quote Log'!$C:$C,"&lt;="&amp;DATE(2022,3,31),'Quote Log'!$AK:$AK,"=Google")</f>
        <v>0</v>
      </c>
      <c r="Y16">
        <f>COUNTIFS('Quote Log'!$B:$B,"&lt;&gt;VOID",'Quote Log'!$B:$B,"&lt;&gt;Requoted",'Quote Log'!$C:$C,"&gt;="&amp;DATE(2022,3,1),'Quote Log'!$C:$C,"&lt;="&amp;DATE(2022,3,31),'Quote Log'!$AK:$AK,"=Linked-In")</f>
        <v>0</v>
      </c>
      <c r="Z16">
        <f>COUNTIFS('Quote Log'!$B:$B,"&lt;&gt;VOID",'Quote Log'!$B:$B,"&lt;&gt;Requoted",'Quote Log'!$C:$C,"&gt;="&amp;DATE(2022,3,1),'Quote Log'!$C:$C,"&lt;="&amp;DATE(2022,3,31),'Quote Log'!$AK:$AK,"=Thomasnet")</f>
        <v>0</v>
      </c>
      <c r="AA16">
        <f t="shared" si="12"/>
        <v>0</v>
      </c>
      <c r="AB16">
        <f>COUNTIFS('Quote Log'!$B:$B,"&lt;&gt;VOID",'Quote Log'!$B:$B,"&lt;&gt;Requoted",'Quote Log'!$C:$C,"&gt;="&amp;DATE(2022,3,1),'Quote Log'!$C:$C,"&lt;="&amp;DATE(2022,3,31),'Quote Log'!$AK:$AK,"=Phone Call")</f>
        <v>0</v>
      </c>
      <c r="AC16">
        <f>COUNTIFS('Quote Log'!$B:$B,"&lt;&gt;VOID",'Quote Log'!$B:$B,"&lt;&gt;Requoted",'Quote Log'!$C:$C,"&gt;="&amp;DATE(2022,3,1),'Quote Log'!$C:$C,"&lt;="&amp;DATE(2022,3,31),'Quote Log'!$AK:$AK,"=Trade Show")</f>
        <v>0</v>
      </c>
      <c r="AD16">
        <f>COUNTIFS('Quote Log'!$B:$B,"&lt;&gt;VOID",'Quote Log'!$B:$B,"&lt;&gt;Requoted",'Quote Log'!$C:$C,"&gt;="&amp;DATE(2022,3,1),'Quote Log'!$C:$C,"&lt;="&amp;DATE(2022,3,31),'Quote Log'!$AK:$AK,"=Referral")</f>
        <v>0</v>
      </c>
      <c r="AE16" s="350" t="e">
        <f t="shared" si="29"/>
        <v>#N/A</v>
      </c>
      <c r="AF16">
        <f>COUNTIFS('Quote Log'!$B:$B,"&lt;&gt;VOID",'Quote Log'!$B:$B,"&lt;&gt;",'Quote Log'!$B:$B,"&lt;&gt;Cathy",'Quote Log'!$B:$B,"&lt;&gt;Larry",'Quote Log'!$B:$B,"&lt;&gt;LOST",'Quote Log'!$B:$B,"&lt;&gt;Purchased",'Quote Log'!$B:$B,"&lt;&gt;Max",'Quote Log'!$B:$B,"&lt;&gt;Quote Sent",'Quote Log'!$B:$B,"&lt;&gt;ISSUE",'Quote Log'!$B:$B,"&lt;&gt;Requoted",'Quote Log'!$C:$C,"&gt;="&amp;DATE(2022,3,1),'Quote Log'!$C:$C,"&lt;="&amp;DATE(2022,3,31))</f>
        <v>0</v>
      </c>
      <c r="AG16" s="350" t="e">
        <f t="shared" si="30"/>
        <v>#N/A</v>
      </c>
      <c r="AH16" s="358">
        <f>SUMIFS('Quote Log'!$AB:$AB,'Quote Log'!$B:$B,"=Quote Sent",'Quote Log'!$C:$C,"&gt;="&amp;DATE(2022,3,1),'Quote Log'!$C:$C,"&lt;="&amp;DATE(2022,3,31),'Quote Log'!$AB:$AB,"&lt;&gt;#VALUE!")</f>
        <v>0</v>
      </c>
      <c r="AI16" s="358" t="e">
        <f t="shared" si="31"/>
        <v>#N/A</v>
      </c>
      <c r="AJ16" s="358">
        <f>SUMIFS('Quote Log'!$AB:$AB,'Quote Log'!$B:$B,"=LOST",'Quote Log'!$C:$C,"&gt;="&amp;DATE(2022,3,1),'Quote Log'!$C:$C,"&lt;="&amp;DATE(2022,3,31),'Quote Log'!$AB:$AB,"&lt;&gt;#VALUE!")</f>
        <v>0</v>
      </c>
      <c r="AK16" s="358" t="e">
        <f t="shared" si="32"/>
        <v>#N/A</v>
      </c>
      <c r="AM16" s="339"/>
    </row>
    <row r="17" spans="1:39" x14ac:dyDescent="0.25">
      <c r="A17" s="338">
        <v>44652</v>
      </c>
      <c r="B17">
        <f>COUNTIFS('Quote Log'!$B:$B,"&lt;&gt;VOID",'Quote Log'!$B:$B,"&lt;&gt;Requoted",'Quote Log'!$C:$C,"&gt;="&amp;DATE(2022,4,1),'Quote Log'!$C:$C,"&lt;="&amp;DATE(2022,4,30),'Quote Log'!$B:$B,"&lt;&gt;VOID",'Quote Log'!$B:$B,"&lt;&gt;Requoted")</f>
        <v>0</v>
      </c>
      <c r="C17" t="e">
        <f t="shared" si="17"/>
        <v>#N/A</v>
      </c>
      <c r="D17">
        <f>COUNTIFS('Quote Log'!$B:$B,"&lt;&gt;VOID",'Quote Log'!$B:$B,"&lt;&gt;Requoted",'Quote Log'!$H:$H,"&gt;="&amp;DATE(2022,4,1),'Quote Log'!$H:$H,"&lt;="&amp;DATE(2022,4,30))</f>
        <v>0</v>
      </c>
      <c r="E17" t="e">
        <f t="shared" si="18"/>
        <v>#N/A</v>
      </c>
      <c r="F17" t="e">
        <f t="shared" si="19"/>
        <v>#N/A</v>
      </c>
      <c r="G17">
        <f>COUNTIFS('Quote Log'!$C:$C,"&gt;="&amp;DATE(2022,4,1),'Quote Log'!$C:$C,"&lt;="&amp;DATE(2022,4,30),'Quote Log'!$B:$B,"=Purchased")</f>
        <v>0</v>
      </c>
      <c r="H17" s="350" t="e">
        <f t="shared" si="20"/>
        <v>#N/A</v>
      </c>
      <c r="I17" s="349" t="e">
        <f t="shared" si="4"/>
        <v>#DIV/0!</v>
      </c>
      <c r="J17" s="349" t="e">
        <f t="shared" si="21"/>
        <v>#N/A</v>
      </c>
      <c r="K17">
        <f>COUNTIFS('Quote Log'!$C:$C,"&gt;="&amp;DATE(2022,4,1),'Quote Log'!$C:$C,"&lt;="&amp;DATE(2022,4,30),'Quote Log'!$B:$B,"=LOST")</f>
        <v>0</v>
      </c>
      <c r="L17">
        <f>COUNTIFS('Quote Log'!$B:$B,"&lt;&gt;VOID",'Quote Log'!$B:$B,"&lt;&gt;Requoted",'Quote Log'!$C:$C,"&gt;="&amp;DATE(2022,4,1),'Quote Log'!$C:$C,"&lt;="&amp;DATE(2022,4,30),'Quote Log'!$V:$V,"=new")</f>
        <v>0</v>
      </c>
      <c r="M17" s="349" t="e">
        <f t="shared" si="6"/>
        <v>#DIV/0!</v>
      </c>
      <c r="N17" s="339" t="e">
        <f t="shared" si="22"/>
        <v>#N/A</v>
      </c>
      <c r="O17" s="358">
        <f>SUMIFS('Quote Log'!$AB:$AB,'Quote Log'!$C:$C,"&gt;="&amp;DATE(2022,4,1),'Quote Log'!$C:$C,"&lt;="&amp;DATE(2022,4,30),'Quote Log'!$B:$B,"=Purchased",'Quote Log'!$AB:$AB,"&lt;&gt;#VALUE!")</f>
        <v>0</v>
      </c>
      <c r="P17" s="358" t="e">
        <f t="shared" si="23"/>
        <v>#N/A</v>
      </c>
      <c r="Q17" s="349" t="e">
        <f t="shared" si="24"/>
        <v>#DIV/0!</v>
      </c>
      <c r="R17" s="349" t="e">
        <f t="shared" si="25"/>
        <v>#N/A</v>
      </c>
      <c r="S17" s="358">
        <f>SUMIFS('Quote Log'!$AB:$AB,'Quote Log'!$C:$C,"&gt;="&amp;DATE(2022,4,1),'Quote Log'!$C:$C,"&lt;="&amp;DATE(2022,4,30),'Quote Log'!$B:$B,"=Purchased",'Quote Log'!$AB:$AB,"&lt;&gt;#VALUE!")+S16</f>
        <v>0</v>
      </c>
      <c r="T17" s="358" t="e">
        <f t="shared" si="26"/>
        <v>#N/A</v>
      </c>
      <c r="U17" s="349" t="e">
        <f t="shared" si="27"/>
        <v>#DIV/0!</v>
      </c>
      <c r="V17" s="349" t="e">
        <f t="shared" si="28"/>
        <v>#N/A</v>
      </c>
      <c r="W17">
        <f>COUNTIFS('Quote Log'!$B:$B,"&lt;&gt;VOID",'Quote Log'!$B:$B,"&lt;&gt;Requoted",'Quote Log'!$C:$C,"&gt;="&amp;DATE(2022,4,1),'Quote Log'!$C:$C,"&lt;="&amp;DATE(2022,4,30),'Quote Log'!$AK:$AK,"=Web Unknown")</f>
        <v>0</v>
      </c>
      <c r="X17">
        <f>COUNTIFS('Quote Log'!$B:$B,"&lt;&gt;VOID",'Quote Log'!$B:$B,"&lt;&gt;Requoted",'Quote Log'!$C:$C,"&gt;="&amp;DATE(2022,4,1),'Quote Log'!$C:$C,"&lt;="&amp;DATE(2022,4,30),'Quote Log'!$AK:$AK,"=Google")</f>
        <v>0</v>
      </c>
      <c r="Y17">
        <f>COUNTIFS('Quote Log'!$B:$B,"&lt;&gt;VOID",'Quote Log'!$B:$B,"&lt;&gt;Requoted",'Quote Log'!$C:$C,"&gt;="&amp;DATE(2022,4,1),'Quote Log'!$C:$C,"&lt;="&amp;DATE(2022,4,30),'Quote Log'!$AK:$AK,"=Linked-In")</f>
        <v>0</v>
      </c>
      <c r="Z17">
        <f>COUNTIFS('Quote Log'!$B:$B,"&lt;&gt;VOID",'Quote Log'!$B:$B,"&lt;&gt;Requoted",'Quote Log'!$C:$C,"&gt;="&amp;DATE(2022,4,1),'Quote Log'!$C:$C,"&lt;="&amp;DATE(2022,4,30),'Quote Log'!$AK:$AK,"=Thomasnet")</f>
        <v>0</v>
      </c>
      <c r="AA17">
        <f t="shared" si="12"/>
        <v>0</v>
      </c>
      <c r="AB17">
        <f>COUNTIFS('Quote Log'!$B:$B,"&lt;&gt;VOID",'Quote Log'!$B:$B,"&lt;&gt;Requoted",'Quote Log'!$C:$C,"&gt;="&amp;DATE(2022,4,1),'Quote Log'!$C:$C,"&lt;="&amp;DATE(2022,4,30),'Quote Log'!$AK:$AK,"=Phone Call")</f>
        <v>0</v>
      </c>
      <c r="AC17">
        <f>COUNTIFS('Quote Log'!$B:$B,"&lt;&gt;VOID",'Quote Log'!$B:$B,"&lt;&gt;Requoted",'Quote Log'!$C:$C,"&gt;="&amp;DATE(2022,4,1),'Quote Log'!$C:$C,"&lt;="&amp;DATE(2022,4,30),'Quote Log'!$AK:$AK,"=Trade Show")</f>
        <v>0</v>
      </c>
      <c r="AD17">
        <f>COUNTIFS('Quote Log'!$B:$B,"&lt;&gt;VOID",'Quote Log'!$B:$B,"&lt;&gt;Requoted",'Quote Log'!$C:$C,"&gt;="&amp;DATE(2022,4,1),'Quote Log'!$C:$C,"&lt;="&amp;DATE(2022,4,30),'Quote Log'!$AK:$AK,"=Referral")</f>
        <v>0</v>
      </c>
      <c r="AE17" s="350" t="e">
        <f t="shared" si="29"/>
        <v>#N/A</v>
      </c>
      <c r="AF17">
        <f>COUNTIFS('Quote Log'!$B:$B,"&lt;&gt;VOID",'Quote Log'!$B:$B,"&lt;&gt;",'Quote Log'!$B:$B,"&lt;&gt;Cathy",'Quote Log'!$B:$B,"&lt;&gt;Larry",'Quote Log'!$B:$B,"&lt;&gt;LOST",'Quote Log'!$B:$B,"&lt;&gt;Purchased",'Quote Log'!$B:$B,"&lt;&gt;Max",'Quote Log'!$B:$B,"&lt;&gt;Quote Sent",'Quote Log'!$B:$B,"&lt;&gt;ISSUE",'Quote Log'!$B:$B,"&lt;&gt;Requoted",'Quote Log'!$C:$C,"&gt;="&amp;DATE(2022,4,1),'Quote Log'!$C:$C,"&lt;="&amp;DATE(2022,4,30))</f>
        <v>0</v>
      </c>
      <c r="AG17" s="350" t="e">
        <f t="shared" si="30"/>
        <v>#N/A</v>
      </c>
      <c r="AH17" s="358">
        <f>SUMIFS('Quote Log'!$AB:$AB,'Quote Log'!$B:$B,"=Quote Sent",'Quote Log'!$C:$C,"&gt;="&amp;DATE(2022,4,1),'Quote Log'!$C:$C,"&lt;="&amp;DATE(2022,4,30),'Quote Log'!$AB:$AB,"&lt;&gt;#VALUE!")</f>
        <v>0</v>
      </c>
      <c r="AI17" s="358" t="e">
        <f t="shared" si="31"/>
        <v>#N/A</v>
      </c>
      <c r="AJ17" s="358">
        <f>SUMIFS('Quote Log'!$AB:$AB,'Quote Log'!$B:$B,"=LOST",'Quote Log'!$C:$C,"&gt;="&amp;DATE(2022,4,1),'Quote Log'!$C:$C,"&lt;="&amp;DATE(2022,4,30),'Quote Log'!$AB:$AB,"&lt;&gt;#VALUE!")</f>
        <v>0</v>
      </c>
      <c r="AK17" s="358" t="e">
        <f t="shared" si="32"/>
        <v>#N/A</v>
      </c>
      <c r="AM17" s="339"/>
    </row>
    <row r="18" spans="1:39" x14ac:dyDescent="0.25">
      <c r="A18" s="338">
        <v>44682</v>
      </c>
      <c r="B18">
        <f>COUNTIFS('Quote Log'!$B:$B,"&lt;&gt;VOID",'Quote Log'!$B:$B,"&lt;&gt;Requoted",'Quote Log'!$C:$C,"&gt;="&amp;DATE(2022,5,1),'Quote Log'!$C:$C,"&lt;="&amp;DATE(2022,5,31))</f>
        <v>0</v>
      </c>
      <c r="C18" t="e">
        <f t="shared" si="17"/>
        <v>#N/A</v>
      </c>
      <c r="D18">
        <f>COUNTIFS('Quote Log'!$B:$B,"&lt;&gt;VOID",'Quote Log'!$B:$B,"&lt;&gt;Requoted",'Quote Log'!$H:$H,"&gt;="&amp;DATE(2022,5,1),'Quote Log'!$H:$H,"&lt;="&amp;DATE(2022,5,31))</f>
        <v>0</v>
      </c>
      <c r="E18" t="e">
        <f t="shared" si="18"/>
        <v>#N/A</v>
      </c>
      <c r="F18" t="e">
        <f t="shared" si="19"/>
        <v>#N/A</v>
      </c>
      <c r="G18">
        <f>COUNTIFS('Quote Log'!$C:$C,"&gt;="&amp;DATE(2022,5,1),'Quote Log'!$C:$C,"&lt;="&amp;DATE(2022,5,31),'Quote Log'!$B:$B,"=Purchased")</f>
        <v>0</v>
      </c>
      <c r="H18" s="350" t="e">
        <f t="shared" si="20"/>
        <v>#N/A</v>
      </c>
      <c r="I18" s="349" t="e">
        <f t="shared" si="4"/>
        <v>#DIV/0!</v>
      </c>
      <c r="J18" s="349" t="e">
        <f t="shared" si="21"/>
        <v>#N/A</v>
      </c>
      <c r="K18">
        <f>COUNTIFS('Quote Log'!$C:$C,"&gt;="&amp;DATE(2022,5,1),'Quote Log'!$C:$C,"&lt;="&amp;DATE(2022,5,31),'Quote Log'!$B:$B,"=LOST")</f>
        <v>0</v>
      </c>
      <c r="L18">
        <f>COUNTIFS('Quote Log'!$B:$B,"&lt;&gt;VOID",'Quote Log'!$B:$B,"&lt;&gt;Requoted",'Quote Log'!$C:$C,"&gt;="&amp;DATE(2022,5,1),'Quote Log'!$C:$C,"&lt;="&amp;DATE(2022,5,31),'Quote Log'!$V:$V,"=new")</f>
        <v>0</v>
      </c>
      <c r="M18" s="349" t="e">
        <f t="shared" si="6"/>
        <v>#DIV/0!</v>
      </c>
      <c r="N18" s="339" t="e">
        <f t="shared" si="22"/>
        <v>#N/A</v>
      </c>
      <c r="O18" s="358">
        <f>SUMIFS('Quote Log'!$AB:$AB,'Quote Log'!$C:$C,"&gt;="&amp;DATE(2022,5,1),'Quote Log'!$C:$C,"&lt;="&amp;DATE(2022,5,31),'Quote Log'!$B:$B,"=Purchased",'Quote Log'!$AB:$AB,"&lt;&gt;#VALUE!")</f>
        <v>0</v>
      </c>
      <c r="P18" s="358" t="e">
        <f t="shared" si="23"/>
        <v>#N/A</v>
      </c>
      <c r="Q18" s="349" t="e">
        <f t="shared" si="24"/>
        <v>#DIV/0!</v>
      </c>
      <c r="R18" s="349" t="e">
        <f t="shared" si="25"/>
        <v>#N/A</v>
      </c>
      <c r="S18" s="358">
        <f>SUMIFS('Quote Log'!$AB:$AB,'Quote Log'!$C:$C,"&gt;="&amp;DATE(2022,5,1),'Quote Log'!$C:$C,"&lt;="&amp;DATE(2022,5,31),'Quote Log'!$B:$B,"=Purchased",'Quote Log'!$AB:$AB,"&lt;&gt;#VALUE!")+S17</f>
        <v>0</v>
      </c>
      <c r="T18" s="358" t="e">
        <f t="shared" si="26"/>
        <v>#N/A</v>
      </c>
      <c r="U18" s="349" t="e">
        <f t="shared" si="27"/>
        <v>#DIV/0!</v>
      </c>
      <c r="V18" s="349" t="e">
        <f t="shared" si="28"/>
        <v>#N/A</v>
      </c>
      <c r="W18">
        <f>COUNTIFS('Quote Log'!$B:$B,"&lt;&gt;VOID",'Quote Log'!$B:$B,"&lt;&gt;Requoted",'Quote Log'!$C:$C,"&gt;="&amp;DATE(2022,5,1),'Quote Log'!$C:$C,"&lt;="&amp;DATE(2022,5,31),'Quote Log'!$AK:$AK,"=Web Unknown")</f>
        <v>0</v>
      </c>
      <c r="X18">
        <f>COUNTIFS('Quote Log'!$B:$B,"&lt;&gt;VOID",'Quote Log'!$B:$B,"&lt;&gt;Requoted",'Quote Log'!$C:$C,"&gt;="&amp;DATE(2022,5,1),'Quote Log'!$C:$C,"&lt;="&amp;DATE(2022,5,31),'Quote Log'!$AK:$AK,"=Google")</f>
        <v>0</v>
      </c>
      <c r="Y18">
        <f>COUNTIFS('Quote Log'!$B:$B,"&lt;&gt;VOID",'Quote Log'!$B:$B,"&lt;&gt;Requoted",'Quote Log'!$C:$C,"&gt;="&amp;DATE(2022,5,1),'Quote Log'!$C:$C,"&lt;="&amp;DATE(2022,5,31),'Quote Log'!$AK:$AK,"=Linked-In")</f>
        <v>0</v>
      </c>
      <c r="Z18">
        <f>COUNTIFS('Quote Log'!$B:$B,"&lt;&gt;VOID",'Quote Log'!$B:$B,"&lt;&gt;Requoted",'Quote Log'!$C:$C,"&gt;="&amp;DATE(2022,5,1),'Quote Log'!$C:$C,"&lt;="&amp;DATE(2022,5,31),'Quote Log'!$AK:$AK,"=Thomasnet")</f>
        <v>0</v>
      </c>
      <c r="AA18">
        <f t="shared" si="12"/>
        <v>0</v>
      </c>
      <c r="AB18">
        <f>COUNTIFS('Quote Log'!$B:$B,"&lt;&gt;VOID",'Quote Log'!$B:$B,"&lt;&gt;Requoted",'Quote Log'!$C:$C,"&gt;="&amp;DATE(2022,5,1),'Quote Log'!$C:$C,"&lt;="&amp;DATE(2022,5,31),'Quote Log'!$AK:$AK,"=Phone Call")</f>
        <v>0</v>
      </c>
      <c r="AC18">
        <f>COUNTIFS('Quote Log'!$B:$B,"&lt;&gt;VOID",'Quote Log'!$B:$B,"&lt;&gt;Requoted",'Quote Log'!$C:$C,"&gt;="&amp;DATE(2022,5,1),'Quote Log'!$C:$C,"&lt;="&amp;DATE(2022,5,31),'Quote Log'!$AK:$AK,"=Trade Show")</f>
        <v>0</v>
      </c>
      <c r="AD18">
        <f>COUNTIFS('Quote Log'!$B:$B,"&lt;&gt;VOID",'Quote Log'!$B:$B,"&lt;&gt;Requoted",'Quote Log'!$C:$C,"&gt;="&amp;DATE(2022,5,1),'Quote Log'!$C:$C,"&lt;="&amp;DATE(2022,5,31),'Quote Log'!$AK:$AK,"=Referral")</f>
        <v>0</v>
      </c>
      <c r="AE18" s="350" t="e">
        <f t="shared" si="29"/>
        <v>#N/A</v>
      </c>
      <c r="AF18">
        <f>COUNTIFS('Quote Log'!$B:$B,"&lt;&gt;VOID",'Quote Log'!$B:$B,"&lt;&gt;",'Quote Log'!$B:$B,"&lt;&gt;Cathy",'Quote Log'!$B:$B,"&lt;&gt;Larry",'Quote Log'!$B:$B,"&lt;&gt;LOST",'Quote Log'!$B:$B,"&lt;&gt;Purchased",'Quote Log'!$B:$B,"&lt;&gt;Max",'Quote Log'!$B:$B,"&lt;&gt;Quote Sent",'Quote Log'!$B:$B,"&lt;&gt;ISSUE",'Quote Log'!$B:$B,"&lt;&gt;Requoted",'Quote Log'!$C:$C,"&gt;="&amp;DATE(2022,5,1),'Quote Log'!$C:$C,"&lt;="&amp;DATE(2022,5,31))</f>
        <v>0</v>
      </c>
      <c r="AG18" s="350" t="e">
        <f t="shared" si="30"/>
        <v>#N/A</v>
      </c>
      <c r="AH18" s="358">
        <f>SUMIFS('Quote Log'!$AB:$AB,'Quote Log'!$B:$B,"=Quote Sent",'Quote Log'!$C:$C,"&gt;="&amp;DATE(2022,5,1),'Quote Log'!$C:$C,"&lt;="&amp;DATE(2022,5,31),'Quote Log'!$AB:$AB,"&lt;&gt;#VALUE!")</f>
        <v>0</v>
      </c>
      <c r="AI18" s="358" t="e">
        <f t="shared" si="31"/>
        <v>#N/A</v>
      </c>
      <c r="AJ18" s="358">
        <f>SUMIFS('Quote Log'!$AB:$AB,'Quote Log'!$B:$B,"=LOST",'Quote Log'!$C:$C,"&gt;="&amp;DATE(2022,5,1),'Quote Log'!$C:$C,"&lt;="&amp;DATE(2022,5,31),'Quote Log'!$AB:$AB,"&lt;&gt;#VALUE!")</f>
        <v>0</v>
      </c>
      <c r="AK18" s="358" t="e">
        <f t="shared" si="32"/>
        <v>#N/A</v>
      </c>
      <c r="AM18" s="339"/>
    </row>
    <row r="19" spans="1:39" x14ac:dyDescent="0.25">
      <c r="A19" s="338">
        <v>44713</v>
      </c>
      <c r="B19">
        <f>COUNTIFS('Quote Log'!$B:$B,"&lt;&gt;VOID",'Quote Log'!$B:$B,"&lt;&gt;Requoted",'Quote Log'!$C:$C,"&gt;="&amp;DATE(2022,6,1),'Quote Log'!$C:$C,"&lt;="&amp;DATE(2022,6,30))</f>
        <v>0</v>
      </c>
      <c r="C19" t="e">
        <f t="shared" si="17"/>
        <v>#N/A</v>
      </c>
      <c r="D19">
        <f>COUNTIFS('Quote Log'!$B:$B,"&lt;&gt;VOID",'Quote Log'!$B:$B,"&lt;&gt;Requoted",'Quote Log'!$H:$H,"&gt;="&amp;DATE(2022,6,1),'Quote Log'!$H:$H,"&lt;="&amp;DATE(2022,6,30))</f>
        <v>0</v>
      </c>
      <c r="E19" t="e">
        <f t="shared" si="18"/>
        <v>#N/A</v>
      </c>
      <c r="F19" t="e">
        <f t="shared" si="19"/>
        <v>#N/A</v>
      </c>
      <c r="G19">
        <f>COUNTIFS('Quote Log'!$C:$C,"&gt;="&amp;DATE(2022,6,1),'Quote Log'!$C:$C,"&lt;="&amp;DATE(2022,6,30),'Quote Log'!$B:$B,"=Purchased")</f>
        <v>0</v>
      </c>
      <c r="H19" s="350" t="e">
        <f t="shared" si="20"/>
        <v>#N/A</v>
      </c>
      <c r="I19" s="349" t="e">
        <f t="shared" si="4"/>
        <v>#DIV/0!</v>
      </c>
      <c r="J19" s="349" t="e">
        <f t="shared" si="21"/>
        <v>#N/A</v>
      </c>
      <c r="K19">
        <f>COUNTIFS('Quote Log'!$C:$C,"&gt;="&amp;DATE(2022,6,1),'Quote Log'!$C:$C,"&lt;="&amp;DATE(2022,6,30),'Quote Log'!$B:$B,"=LOST")</f>
        <v>0</v>
      </c>
      <c r="L19">
        <f>COUNTIFS('Quote Log'!$B:$B,"&lt;&gt;VOID",'Quote Log'!$B:$B,"&lt;&gt;Requoted",'Quote Log'!$C:$C,"&gt;="&amp;DATE(2022,6,1),'Quote Log'!$C:$C,"&lt;="&amp;DATE(2022,6,30),'Quote Log'!$V:$V,"=new")</f>
        <v>0</v>
      </c>
      <c r="M19" s="349" t="e">
        <f t="shared" si="6"/>
        <v>#DIV/0!</v>
      </c>
      <c r="N19" s="339" t="e">
        <f t="shared" si="22"/>
        <v>#N/A</v>
      </c>
      <c r="O19" s="358">
        <f>SUMIFS('Quote Log'!$AB:$AB,'Quote Log'!$C:$C,"&gt;="&amp;DATE(2022,6,1),'Quote Log'!$C:$C,"&lt;="&amp;DATE(2022,6,30),'Quote Log'!$B:$B,"=Purchased",'Quote Log'!$AB:$AB,"&lt;&gt;#VALUE!")</f>
        <v>0</v>
      </c>
      <c r="P19" s="358" t="e">
        <f t="shared" si="23"/>
        <v>#N/A</v>
      </c>
      <c r="Q19" s="349" t="e">
        <f t="shared" si="24"/>
        <v>#DIV/0!</v>
      </c>
      <c r="R19" s="349" t="e">
        <f t="shared" si="25"/>
        <v>#N/A</v>
      </c>
      <c r="S19" s="358">
        <f>SUMIFS('Quote Log'!$AB:$AB,'Quote Log'!$C:$C,"&gt;="&amp;DATE(2022,6,1),'Quote Log'!$C:$C,"&lt;="&amp;DATE(2022,6,30),'Quote Log'!$B:$B,"=Purchased",'Quote Log'!$AB:$AB,"&lt;&gt;#VALUE!")+S18</f>
        <v>0</v>
      </c>
      <c r="T19" s="358" t="e">
        <f t="shared" si="26"/>
        <v>#N/A</v>
      </c>
      <c r="U19" s="349" t="e">
        <f t="shared" si="27"/>
        <v>#DIV/0!</v>
      </c>
      <c r="V19" s="349" t="e">
        <f t="shared" si="28"/>
        <v>#N/A</v>
      </c>
      <c r="W19">
        <f>COUNTIFS('Quote Log'!$B:$B,"&lt;&gt;VOID",'Quote Log'!$B:$B,"&lt;&gt;Requoted",'Quote Log'!$C:$C,"&gt;="&amp;DATE(2022,6,1),'Quote Log'!$C:$C,"&lt;="&amp;DATE(2022,6,30),'Quote Log'!$AK:$AK,"=Web Unknown")</f>
        <v>0</v>
      </c>
      <c r="X19">
        <f>COUNTIFS('Quote Log'!$B:$B,"&lt;&gt;VOID",'Quote Log'!$B:$B,"&lt;&gt;Requoted",'Quote Log'!$C:$C,"&gt;="&amp;DATE(2022,6,1),'Quote Log'!$C:$C,"&lt;="&amp;DATE(2022,6,30),'Quote Log'!$AK:$AK,"=Google")</f>
        <v>0</v>
      </c>
      <c r="Y19">
        <f>COUNTIFS('Quote Log'!$B:$B,"&lt;&gt;VOID",'Quote Log'!$B:$B,"&lt;&gt;Requoted",'Quote Log'!$C:$C,"&gt;="&amp;DATE(2022,6,1),'Quote Log'!$C:$C,"&lt;="&amp;DATE(2022,6,30),'Quote Log'!$AK:$AK,"=Linked-In")</f>
        <v>0</v>
      </c>
      <c r="Z19">
        <f>COUNTIFS('Quote Log'!$B:$B,"&lt;&gt;VOID",'Quote Log'!$B:$B,"&lt;&gt;Requoted",'Quote Log'!$C:$C,"&gt;="&amp;DATE(2022,6,1),'Quote Log'!$C:$C,"&lt;="&amp;DATE(2022,6,30),'Quote Log'!$AK:$AK,"=Thomasnet")</f>
        <v>0</v>
      </c>
      <c r="AA19">
        <f t="shared" si="12"/>
        <v>0</v>
      </c>
      <c r="AB19">
        <f>COUNTIFS('Quote Log'!$B:$B,"&lt;&gt;VOID",'Quote Log'!$B:$B,"&lt;&gt;Requoted",'Quote Log'!$C:$C,"&gt;="&amp;DATE(2022,6,1),'Quote Log'!$C:$C,"&lt;="&amp;DATE(2022,6,30),'Quote Log'!$AK:$AK,"=Phone Call")</f>
        <v>0</v>
      </c>
      <c r="AC19">
        <f>COUNTIFS('Quote Log'!$B:$B,"&lt;&gt;VOID",'Quote Log'!$B:$B,"&lt;&gt;Requoted",'Quote Log'!$C:$C,"&gt;="&amp;DATE(2022,6,1),'Quote Log'!$C:$C,"&lt;="&amp;DATE(2022,6,30),'Quote Log'!$AK:$AK,"=Trade Show")</f>
        <v>0</v>
      </c>
      <c r="AD19">
        <f>COUNTIFS('Quote Log'!$B:$B,"&lt;&gt;VOID",'Quote Log'!$B:$B,"&lt;&gt;Requoted",'Quote Log'!$C:$C,"&gt;="&amp;DATE(2022,6,1),'Quote Log'!$C:$C,"&lt;="&amp;DATE(2022,6,30),'Quote Log'!$AK:$AK,"=Referral")</f>
        <v>0</v>
      </c>
      <c r="AE19" s="350" t="e">
        <f t="shared" si="29"/>
        <v>#N/A</v>
      </c>
      <c r="AF19">
        <f>COUNTIFS('Quote Log'!$B:$B,"&lt;&gt;VOID",'Quote Log'!$B:$B,"&lt;&gt;",'Quote Log'!$B:$B,"&lt;&gt;Cathy",'Quote Log'!$B:$B,"&lt;&gt;Larry",'Quote Log'!$B:$B,"&lt;&gt;LOST",'Quote Log'!$B:$B,"&lt;&gt;Purchased",'Quote Log'!$B:$B,"&lt;&gt;Max",'Quote Log'!$B:$B,"&lt;&gt;Quote Sent",'Quote Log'!$B:$B,"&lt;&gt;ISSUE",'Quote Log'!$B:$B,"&lt;&gt;Requoted",'Quote Log'!$C:$C,"&gt;="&amp;DATE(2022,6,1),'Quote Log'!$C:$C,"&lt;="&amp;DATE(2022,6,30))</f>
        <v>0</v>
      </c>
      <c r="AG19" s="350" t="e">
        <f t="shared" si="30"/>
        <v>#N/A</v>
      </c>
      <c r="AH19" s="358">
        <f>SUMIFS('Quote Log'!$AB:$AB,'Quote Log'!$B:$B,"=Quote Sent",'Quote Log'!$C:$C,"&gt;="&amp;DATE(2022,6,1),'Quote Log'!$C:$C,"&lt;="&amp;DATE(2022,6,30),'Quote Log'!$AB:$AB,"&lt;&gt;#VALUE!")</f>
        <v>0</v>
      </c>
      <c r="AI19" s="358" t="e">
        <f t="shared" si="31"/>
        <v>#N/A</v>
      </c>
      <c r="AJ19" s="358">
        <f>SUMIFS('Quote Log'!$AB:$AB,'Quote Log'!$B:$B,"=LOST",'Quote Log'!$C:$C,"&gt;="&amp;DATE(2022,6,1),'Quote Log'!$C:$C,"&lt;="&amp;DATE(2022,6,30),'Quote Log'!$AB:$AB,"&lt;&gt;#VALUE!")</f>
        <v>0</v>
      </c>
      <c r="AK19" s="358" t="e">
        <f t="shared" si="32"/>
        <v>#N/A</v>
      </c>
      <c r="AM19" s="339"/>
    </row>
    <row r="20" spans="1:39" x14ac:dyDescent="0.25">
      <c r="A20" s="338">
        <v>44743</v>
      </c>
      <c r="B20">
        <f>COUNTIFS('Quote Log'!$B:$B,"&lt;&gt;VOID",'Quote Log'!$B:$B,"&lt;&gt;Requoted",'Quote Log'!$C:$C,"&gt;="&amp;DATE(2022,7,1),'Quote Log'!$C:$C,"&lt;="&amp;DATE(2022,7,31))</f>
        <v>0</v>
      </c>
      <c r="C20" t="e">
        <f t="shared" si="17"/>
        <v>#N/A</v>
      </c>
      <c r="D20">
        <f>COUNTIFS('Quote Log'!$B:$B,"&lt;&gt;VOID",'Quote Log'!$B:$B,"&lt;&gt;Requoted",'Quote Log'!$H:$H,"&gt;="&amp;DATE(2022,7,1),'Quote Log'!$H:$H,"&lt;="&amp;DATE(2022,7,31))</f>
        <v>0</v>
      </c>
      <c r="E20" t="e">
        <f t="shared" si="18"/>
        <v>#N/A</v>
      </c>
      <c r="F20" t="e">
        <f t="shared" si="19"/>
        <v>#N/A</v>
      </c>
      <c r="G20">
        <f>COUNTIFS('Quote Log'!$C:$C,"&gt;="&amp;DATE(2022,7,1),'Quote Log'!$C:$C,"&lt;="&amp;DATE(2022,7,31),'Quote Log'!$B:$B,"=Purchased")</f>
        <v>0</v>
      </c>
      <c r="H20" s="350" t="e">
        <f t="shared" si="20"/>
        <v>#N/A</v>
      </c>
      <c r="I20" s="349" t="e">
        <f t="shared" si="4"/>
        <v>#DIV/0!</v>
      </c>
      <c r="J20" s="349" t="e">
        <f t="shared" si="21"/>
        <v>#N/A</v>
      </c>
      <c r="K20">
        <f>COUNTIFS('Quote Log'!$C:$C,"&gt;="&amp;DATE(2022,7,1),'Quote Log'!$C:$C,"&lt;="&amp;DATE(2022,7,31),'Quote Log'!$B:$B,"=LOST")</f>
        <v>0</v>
      </c>
      <c r="L20">
        <f>COUNTIFS('Quote Log'!$B:$B,"&lt;&gt;VOID",'Quote Log'!$B:$B,"&lt;&gt;Requoted",'Quote Log'!$C:$C,"&gt;="&amp;DATE(2022,7,1),'Quote Log'!$C:$C,"&lt;="&amp;DATE(2022,7,31),'Quote Log'!$V:$V,"=new")</f>
        <v>0</v>
      </c>
      <c r="M20" s="349" t="e">
        <f t="shared" si="6"/>
        <v>#DIV/0!</v>
      </c>
      <c r="N20" s="339" t="e">
        <f t="shared" si="22"/>
        <v>#N/A</v>
      </c>
      <c r="O20" s="358">
        <f>SUMIFS('Quote Log'!$AB:$AB,'Quote Log'!$C:$C,"&gt;="&amp;DATE(2022,7,1),'Quote Log'!$C:$C,"&lt;="&amp;DATE(2022,7,31),'Quote Log'!$B:$B,"=Purchased",'Quote Log'!$AB:$AB,"&lt;&gt;#VALUE!")</f>
        <v>0</v>
      </c>
      <c r="P20" s="358" t="e">
        <f t="shared" si="23"/>
        <v>#N/A</v>
      </c>
      <c r="Q20" s="349" t="e">
        <f t="shared" si="24"/>
        <v>#DIV/0!</v>
      </c>
      <c r="R20" s="349" t="e">
        <f t="shared" si="25"/>
        <v>#N/A</v>
      </c>
      <c r="S20" s="358">
        <f>SUMIFS('Quote Log'!$AB:$AB,'Quote Log'!$C:$C,"&gt;="&amp;DATE(2022,7,1),'Quote Log'!$C:$C,"&lt;="&amp;DATE(2022,7,31),'Quote Log'!$B:$B,"=Purchased",'Quote Log'!$AB:$AB,"&lt;&gt;#VALUE!")+S19</f>
        <v>0</v>
      </c>
      <c r="T20" s="358" t="e">
        <f t="shared" si="26"/>
        <v>#N/A</v>
      </c>
      <c r="U20" s="349" t="e">
        <f t="shared" si="27"/>
        <v>#DIV/0!</v>
      </c>
      <c r="V20" s="349" t="e">
        <f t="shared" si="28"/>
        <v>#N/A</v>
      </c>
      <c r="W20">
        <f>COUNTIFS('Quote Log'!$B:$B,"&lt;&gt;VOID",'Quote Log'!$B:$B,"&lt;&gt;Requoted",'Quote Log'!$C:$C,"&gt;="&amp;DATE(2022,7,1),'Quote Log'!$C:$C,"&lt;="&amp;DATE(2022,7,31),'Quote Log'!$AK:$AK,"=Web Unknown")</f>
        <v>0</v>
      </c>
      <c r="X20">
        <f>COUNTIFS('Quote Log'!$B:$B,"&lt;&gt;VOID",'Quote Log'!$B:$B,"&lt;&gt;Requoted",'Quote Log'!$C:$C,"&gt;="&amp;DATE(2022,7,1),'Quote Log'!$C:$C,"&lt;="&amp;DATE(2022,7,31),'Quote Log'!$AK:$AK,"=Google")</f>
        <v>0</v>
      </c>
      <c r="Y20">
        <f>COUNTIFS('Quote Log'!$B:$B,"&lt;&gt;VOID",'Quote Log'!$B:$B,"&lt;&gt;Requoted",'Quote Log'!$C:$C,"&gt;="&amp;DATE(2022,7,1),'Quote Log'!$C:$C,"&lt;="&amp;DATE(2022,7,31),'Quote Log'!$AK:$AK,"=Linked-In")</f>
        <v>0</v>
      </c>
      <c r="Z20">
        <f>COUNTIFS('Quote Log'!$B:$B,"&lt;&gt;VOID",'Quote Log'!$B:$B,"&lt;&gt;Requoted",'Quote Log'!$C:$C,"&gt;="&amp;DATE(2022,7,1),'Quote Log'!$C:$C,"&lt;="&amp;DATE(2022,7,31),'Quote Log'!$AK:$AK,"=Thomasnet")</f>
        <v>0</v>
      </c>
      <c r="AA20">
        <f t="shared" si="12"/>
        <v>0</v>
      </c>
      <c r="AB20">
        <f>COUNTIFS('Quote Log'!$B:$B,"&lt;&gt;VOID",'Quote Log'!$B:$B,"&lt;&gt;Requoted",'Quote Log'!$C:$C,"&gt;="&amp;DATE(2022,7,1),'Quote Log'!$C:$C,"&lt;="&amp;DATE(2022,7,31),'Quote Log'!$AK:$AK,"=Phone Call")</f>
        <v>0</v>
      </c>
      <c r="AC20">
        <f>COUNTIFS('Quote Log'!$B:$B,"&lt;&gt;VOID",'Quote Log'!$B:$B,"&lt;&gt;Requoted",'Quote Log'!$C:$C,"&gt;="&amp;DATE(2022,7,1),'Quote Log'!$C:$C,"&lt;="&amp;DATE(2022,7,31),'Quote Log'!$AK:$AK,"=Trade Show")</f>
        <v>0</v>
      </c>
      <c r="AD20">
        <f>COUNTIFS('Quote Log'!$B:$B,"&lt;&gt;VOID",'Quote Log'!$B:$B,"&lt;&gt;Requoted",'Quote Log'!$C:$C,"&gt;="&amp;DATE(2022,7,1),'Quote Log'!$C:$C,"&lt;="&amp;DATE(2022,7,31),'Quote Log'!$AK:$AK,"=Referral")</f>
        <v>0</v>
      </c>
      <c r="AE20" s="350" t="e">
        <f t="shared" si="29"/>
        <v>#N/A</v>
      </c>
      <c r="AF20">
        <f>COUNTIFS('Quote Log'!$B:$B,"&lt;&gt;VOID",'Quote Log'!$B:$B,"&lt;&gt;",'Quote Log'!$B:$B,"&lt;&gt;Cathy",'Quote Log'!$B:$B,"&lt;&gt;Larry",'Quote Log'!$B:$B,"&lt;&gt;LOST",'Quote Log'!$B:$B,"&lt;&gt;Purchased",'Quote Log'!$B:$B,"&lt;&gt;Max",'Quote Log'!$B:$B,"&lt;&gt;Quote Sent",'Quote Log'!$B:$B,"&lt;&gt;ISSUE",'Quote Log'!$B:$B,"&lt;&gt;Requoted",'Quote Log'!$C:$C,"&gt;="&amp;DATE(2022,7,1),'Quote Log'!$C:$C,"&lt;="&amp;DATE(2022,7,31))</f>
        <v>0</v>
      </c>
      <c r="AG20" s="350" t="e">
        <f t="shared" si="30"/>
        <v>#N/A</v>
      </c>
      <c r="AH20" s="358">
        <f>SUMIFS('Quote Log'!$AB:$AB,'Quote Log'!$B:$B,"=Quote Sent",'Quote Log'!$C:$C,"&gt;="&amp;DATE(2022,7,1),'Quote Log'!$C:$C,"&lt;="&amp;DATE(2022,7,31),'Quote Log'!$AB:$AB,"&lt;&gt;#VALUE!")</f>
        <v>0</v>
      </c>
      <c r="AI20" s="358" t="e">
        <f t="shared" si="31"/>
        <v>#N/A</v>
      </c>
      <c r="AJ20" s="358">
        <f>SUMIFS('Quote Log'!$AB:$AB,'Quote Log'!$B:$B,"=LOST",'Quote Log'!$C:$C,"&gt;="&amp;DATE(2022,7,1),'Quote Log'!$C:$C,"&lt;="&amp;DATE(2022,7,31),'Quote Log'!$AB:$AB,"&lt;&gt;#VALUE!")</f>
        <v>0</v>
      </c>
      <c r="AK20" s="358" t="e">
        <f t="shared" si="32"/>
        <v>#N/A</v>
      </c>
      <c r="AM20" s="339"/>
    </row>
    <row r="21" spans="1:39" x14ac:dyDescent="0.25">
      <c r="A21" s="338">
        <v>44774</v>
      </c>
      <c r="B21">
        <f>COUNTIFS('Quote Log'!$B:$B,"&lt;&gt;VOID",'Quote Log'!$B:$B,"&lt;&gt;Requoted",'Quote Log'!$C:$C,"&gt;="&amp;DATE(2022,8,1),'Quote Log'!$C:$C,"&lt;="&amp;DATE(2022,8,31))</f>
        <v>0</v>
      </c>
      <c r="C21" t="e">
        <f t="shared" si="17"/>
        <v>#N/A</v>
      </c>
      <c r="D21">
        <f>COUNTIFS('Quote Log'!$B:$B,"&lt;&gt;VOID",'Quote Log'!$B:$B,"&lt;&gt;Requoted",'Quote Log'!$H:$H,"&gt;="&amp;DATE(2022,8,1),'Quote Log'!$H:$H,"&lt;="&amp;DATE(2022,8,31))</f>
        <v>0</v>
      </c>
      <c r="E21" t="e">
        <f t="shared" si="18"/>
        <v>#N/A</v>
      </c>
      <c r="F21" t="e">
        <f t="shared" si="19"/>
        <v>#N/A</v>
      </c>
      <c r="G21">
        <f>COUNTIFS('Quote Log'!$C:$C,"&gt;="&amp;DATE(2022,8,1),'Quote Log'!$C:$C,"&lt;="&amp;DATE(2022,8,31),'Quote Log'!$B:$B,"=Purchased")</f>
        <v>0</v>
      </c>
      <c r="H21" s="350" t="e">
        <f t="shared" si="20"/>
        <v>#N/A</v>
      </c>
      <c r="I21" s="349" t="e">
        <f t="shared" si="4"/>
        <v>#DIV/0!</v>
      </c>
      <c r="J21" s="349" t="e">
        <f t="shared" si="21"/>
        <v>#N/A</v>
      </c>
      <c r="K21">
        <f>COUNTIFS('Quote Log'!$C:$C,"&gt;="&amp;DATE(2022,8,1),'Quote Log'!$C:$C,"&lt;="&amp;DATE(2022,8,31),'Quote Log'!$B:$B,"=LOST")</f>
        <v>0</v>
      </c>
      <c r="L21">
        <f>COUNTIFS('Quote Log'!$B:$B,"&lt;&gt;VOID",'Quote Log'!$B:$B,"&lt;&gt;Requoted",'Quote Log'!$C:$C,"&gt;="&amp;DATE(2022,8,1),'Quote Log'!$C:$C,"&lt;="&amp;DATE(2022,8,31),'Quote Log'!$V:$V,"=new")</f>
        <v>0</v>
      </c>
      <c r="M21" s="349" t="e">
        <f t="shared" si="6"/>
        <v>#DIV/0!</v>
      </c>
      <c r="N21" s="339" t="e">
        <f t="shared" si="22"/>
        <v>#N/A</v>
      </c>
      <c r="O21" s="358">
        <f>SUMIFS('Quote Log'!$AB:$AB,'Quote Log'!$C:$C,"&gt;="&amp;DATE(2022,8,1),'Quote Log'!$C:$C,"&lt;="&amp;DATE(2022,8,31),'Quote Log'!$B:$B,"=Purchased",'Quote Log'!$AB:$AB,"&lt;&gt;#VALUE!")</f>
        <v>0</v>
      </c>
      <c r="P21" s="358" t="e">
        <f t="shared" si="23"/>
        <v>#N/A</v>
      </c>
      <c r="Q21" s="349" t="e">
        <f t="shared" si="24"/>
        <v>#DIV/0!</v>
      </c>
      <c r="R21" s="349" t="e">
        <f t="shared" si="25"/>
        <v>#N/A</v>
      </c>
      <c r="S21" s="358">
        <f>SUMIFS('Quote Log'!$AB:$AB,'Quote Log'!$C:$C,"&gt;="&amp;DATE(2022,8,1),'Quote Log'!$C:$C,"&lt;="&amp;DATE(2022,8,31),'Quote Log'!$B:$B,"=Purchased",'Quote Log'!$AB:$AB,"&lt;&gt;#VALUE!")+S20</f>
        <v>0</v>
      </c>
      <c r="T21" s="358" t="e">
        <f t="shared" si="26"/>
        <v>#N/A</v>
      </c>
      <c r="U21" s="349" t="e">
        <f t="shared" si="27"/>
        <v>#DIV/0!</v>
      </c>
      <c r="V21" s="349" t="e">
        <f t="shared" si="28"/>
        <v>#N/A</v>
      </c>
      <c r="W21">
        <f>COUNTIFS('Quote Log'!$B:$B,"&lt;&gt;VOID",'Quote Log'!$B:$B,"&lt;&gt;Requoted",'Quote Log'!$C:$C,"&gt;="&amp;DATE(2022,8,1),'Quote Log'!$C:$C,"&lt;="&amp;DATE(2022,8,31),'Quote Log'!$AK:$AK,"=Web Unknown")</f>
        <v>0</v>
      </c>
      <c r="X21">
        <f>COUNTIFS('Quote Log'!$B:$B,"&lt;&gt;VOID",'Quote Log'!$B:$B,"&lt;&gt;Requoted",'Quote Log'!$C:$C,"&gt;="&amp;DATE(2022,8,1),'Quote Log'!$C:$C,"&lt;="&amp;DATE(2022,8,31),'Quote Log'!$AK:$AK,"=Google")</f>
        <v>0</v>
      </c>
      <c r="Y21">
        <f>COUNTIFS('Quote Log'!$B:$B,"&lt;&gt;VOID",'Quote Log'!$B:$B,"&lt;&gt;Requoted",'Quote Log'!$C:$C,"&gt;="&amp;DATE(2022,8,1),'Quote Log'!$C:$C,"&lt;="&amp;DATE(2022,8,31),'Quote Log'!$AK:$AK,"=Linked-In")</f>
        <v>0</v>
      </c>
      <c r="Z21">
        <f>COUNTIFS('Quote Log'!$B:$B,"&lt;&gt;VOID",'Quote Log'!$B:$B,"&lt;&gt;Requoted",'Quote Log'!$C:$C,"&gt;="&amp;DATE(2022,8,1),'Quote Log'!$C:$C,"&lt;="&amp;DATE(2022,8,31),'Quote Log'!$AK:$AK,"=Thomasnet")</f>
        <v>0</v>
      </c>
      <c r="AA21">
        <f t="shared" si="12"/>
        <v>0</v>
      </c>
      <c r="AB21">
        <f>COUNTIFS('Quote Log'!$B:$B,"&lt;&gt;VOID",'Quote Log'!$B:$B,"&lt;&gt;Requoted",'Quote Log'!$C:$C,"&gt;="&amp;DATE(2022,8,1),'Quote Log'!$C:$C,"&lt;="&amp;DATE(2022,8,31),'Quote Log'!$AK:$AK,"=Phone Call")</f>
        <v>0</v>
      </c>
      <c r="AC21">
        <f>COUNTIFS('Quote Log'!$B:$B,"&lt;&gt;VOID",'Quote Log'!$B:$B,"&lt;&gt;Requoted",'Quote Log'!$C:$C,"&gt;="&amp;DATE(2022,8,1),'Quote Log'!$C:$C,"&lt;="&amp;DATE(2022,8,31),'Quote Log'!$AK:$AK,"=Trade Show")</f>
        <v>0</v>
      </c>
      <c r="AD21">
        <f>COUNTIFS('Quote Log'!$B:$B,"&lt;&gt;VOID",'Quote Log'!$B:$B,"&lt;&gt;Requoted",'Quote Log'!$C:$C,"&gt;="&amp;DATE(2022,8,1),'Quote Log'!$C:$C,"&lt;="&amp;DATE(2022,8,31),'Quote Log'!$AK:$AK,"=Referral")</f>
        <v>0</v>
      </c>
      <c r="AE21" s="350" t="e">
        <f t="shared" si="29"/>
        <v>#N/A</v>
      </c>
      <c r="AF21">
        <f>COUNTIFS('Quote Log'!$B:$B,"&lt;&gt;VOID",'Quote Log'!$B:$B,"&lt;&gt;",'Quote Log'!$B:$B,"&lt;&gt;Cathy",'Quote Log'!$B:$B,"&lt;&gt;Larry",'Quote Log'!$B:$B,"&lt;&gt;LOST",'Quote Log'!$B:$B,"&lt;&gt;Purchased",'Quote Log'!$B:$B,"&lt;&gt;Max",'Quote Log'!$B:$B,"&lt;&gt;Quote Sent",'Quote Log'!$B:$B,"&lt;&gt;ISSUE",'Quote Log'!$B:$B,"&lt;&gt;Requoted",'Quote Log'!$C:$C,"&gt;="&amp;DATE(2022,8,1),'Quote Log'!$C:$C,"&lt;="&amp;DATE(2022,8,31))</f>
        <v>0</v>
      </c>
      <c r="AG21" s="350" t="e">
        <f t="shared" si="30"/>
        <v>#N/A</v>
      </c>
      <c r="AH21" s="358">
        <f>SUMIFS('Quote Log'!$AB:$AB,'Quote Log'!$B:$B,"=Quote Sent",'Quote Log'!$C:$C,"&gt;="&amp;DATE(2022,8,1),'Quote Log'!$C:$C,"&lt;="&amp;DATE(2022,8,31),'Quote Log'!$AB:$AB,"&lt;&gt;#VALUE!")</f>
        <v>0</v>
      </c>
      <c r="AI21" s="358" t="e">
        <f t="shared" si="31"/>
        <v>#N/A</v>
      </c>
      <c r="AJ21" s="358">
        <f>SUMIFS('Quote Log'!$AB:$AB,'Quote Log'!$B:$B,"=LOST",'Quote Log'!$C:$C,"&gt;="&amp;DATE(2022,8,1),'Quote Log'!$C:$C,"&lt;="&amp;DATE(2022,8,31),'Quote Log'!$AB:$AB,"&lt;&gt;#VALUE!")</f>
        <v>0</v>
      </c>
      <c r="AK21" s="358" t="e">
        <f t="shared" si="32"/>
        <v>#N/A</v>
      </c>
      <c r="AM21" s="339"/>
    </row>
    <row r="22" spans="1:39" x14ac:dyDescent="0.25">
      <c r="A22" s="338">
        <v>44805</v>
      </c>
      <c r="B22">
        <f>COUNTIFS('Quote Log'!$B:$B,"&lt;&gt;VOID",'Quote Log'!$B:$B,"&lt;&gt;Requoted",'Quote Log'!$C:$C,"&gt;="&amp;DATE(2022,9,1),'Quote Log'!$C:$C,"&lt;="&amp;DATE(2022,9,30))</f>
        <v>0</v>
      </c>
      <c r="C22" t="e">
        <f t="shared" si="17"/>
        <v>#N/A</v>
      </c>
      <c r="D22">
        <f>COUNTIFS('Quote Log'!$B:$B,"&lt;&gt;VOID",'Quote Log'!$B:$B,"&lt;&gt;Requoted",'Quote Log'!$H:$H,"&gt;="&amp;DATE(2022,9,1),'Quote Log'!$H:$H,"&lt;="&amp;DATE(2022,9,30))</f>
        <v>0</v>
      </c>
      <c r="E22" t="e">
        <f t="shared" si="18"/>
        <v>#N/A</v>
      </c>
      <c r="F22" t="e">
        <f t="shared" si="19"/>
        <v>#N/A</v>
      </c>
      <c r="G22">
        <f>COUNTIFS('Quote Log'!$C:$C,"&gt;="&amp;DATE(2022,9,1),'Quote Log'!$C:$C,"&lt;="&amp;DATE(2022,9,30),'Quote Log'!$B:$B,"=Purchased")</f>
        <v>0</v>
      </c>
      <c r="H22" s="350" t="e">
        <f t="shared" si="20"/>
        <v>#N/A</v>
      </c>
      <c r="I22" s="349" t="e">
        <f t="shared" si="4"/>
        <v>#DIV/0!</v>
      </c>
      <c r="J22" s="349" t="e">
        <f t="shared" si="21"/>
        <v>#N/A</v>
      </c>
      <c r="K22">
        <f>COUNTIFS('Quote Log'!$C:$C,"&gt;="&amp;DATE(2022,9,1),'Quote Log'!$C:$C,"&lt;="&amp;DATE(2022,9,30),'Quote Log'!$B:$B,"=LOST")</f>
        <v>0</v>
      </c>
      <c r="L22">
        <f>COUNTIFS('Quote Log'!$B:$B,"&lt;&gt;VOID",'Quote Log'!$B:$B,"&lt;&gt;Requoted",'Quote Log'!$C:$C,"&gt;="&amp;DATE(2022,9,1),'Quote Log'!$C:$C,"&lt;="&amp;DATE(2022,9,30),'Quote Log'!$V:$V,"=new")</f>
        <v>0</v>
      </c>
      <c r="M22" s="349" t="e">
        <f t="shared" si="6"/>
        <v>#DIV/0!</v>
      </c>
      <c r="N22" s="339" t="e">
        <f t="shared" si="22"/>
        <v>#N/A</v>
      </c>
      <c r="O22" s="358">
        <f>SUMIFS('Quote Log'!$AB:$AB,'Quote Log'!$C:$C,"&gt;="&amp;DATE(2022,9,1),'Quote Log'!$C:$C,"&lt;="&amp;DATE(2022,9,30),'Quote Log'!$B:$B,"=Purchased",'Quote Log'!$AB:$AB,"&lt;&gt;#VALUE!")</f>
        <v>0</v>
      </c>
      <c r="P22" s="358" t="e">
        <f t="shared" si="23"/>
        <v>#N/A</v>
      </c>
      <c r="Q22" s="349" t="e">
        <f t="shared" si="24"/>
        <v>#DIV/0!</v>
      </c>
      <c r="R22" s="349" t="e">
        <f t="shared" si="25"/>
        <v>#N/A</v>
      </c>
      <c r="S22" s="358">
        <f>SUMIFS('Quote Log'!$AB:$AB,'Quote Log'!$C:$C,"&gt;="&amp;DATE(2022,9,1),'Quote Log'!$C:$C,"&lt;="&amp;DATE(2022,9,30),'Quote Log'!$B:$B,"=Purchased",'Quote Log'!$AB:$AB,"&lt;&gt;#VALUE!")+S21</f>
        <v>0</v>
      </c>
      <c r="T22" s="358" t="e">
        <f t="shared" si="26"/>
        <v>#N/A</v>
      </c>
      <c r="U22" s="349" t="e">
        <f t="shared" si="27"/>
        <v>#DIV/0!</v>
      </c>
      <c r="V22" s="349" t="e">
        <f t="shared" si="28"/>
        <v>#N/A</v>
      </c>
      <c r="W22">
        <f>COUNTIFS('Quote Log'!$B:$B,"&lt;&gt;VOID",'Quote Log'!$B:$B,"&lt;&gt;Requoted",'Quote Log'!$C:$C,"&gt;="&amp;DATE(2022,9,1),'Quote Log'!$C:$C,"&lt;="&amp;DATE(2022,9,30),'Quote Log'!$AK:$AK,"=Web Unknown")</f>
        <v>0</v>
      </c>
      <c r="X22">
        <f>COUNTIFS('Quote Log'!$B:$B,"&lt;&gt;VOID",'Quote Log'!$B:$B,"&lt;&gt;Requoted",'Quote Log'!$C:$C,"&gt;="&amp;DATE(2022,9,1),'Quote Log'!$C:$C,"&lt;="&amp;DATE(2022,9,30),'Quote Log'!$AK:$AK,"=Google")</f>
        <v>0</v>
      </c>
      <c r="Y22">
        <f>COUNTIFS('Quote Log'!$B:$B,"&lt;&gt;VOID",'Quote Log'!$B:$B,"&lt;&gt;Requoted",'Quote Log'!$C:$C,"&gt;="&amp;DATE(2022,9,1),'Quote Log'!$C:$C,"&lt;="&amp;DATE(2022,9,30),'Quote Log'!$AK:$AK,"=Linked-In")</f>
        <v>0</v>
      </c>
      <c r="Z22">
        <f>COUNTIFS('Quote Log'!$B:$B,"&lt;&gt;VOID",'Quote Log'!$B:$B,"&lt;&gt;Requoted",'Quote Log'!$C:$C,"&gt;="&amp;DATE(2022,9,1),'Quote Log'!$C:$C,"&lt;="&amp;DATE(2022,9,30),'Quote Log'!$AK:$AK,"=Thomasnet")</f>
        <v>0</v>
      </c>
      <c r="AA22">
        <f t="shared" si="12"/>
        <v>0</v>
      </c>
      <c r="AB22">
        <f>COUNTIFS('Quote Log'!$B:$B,"&lt;&gt;VOID",'Quote Log'!$B:$B,"&lt;&gt;Requoted",'Quote Log'!$C:$C,"&gt;="&amp;DATE(2022,9,1),'Quote Log'!$C:$C,"&lt;="&amp;DATE(2022,9,30),'Quote Log'!$AK:$AK,"=Phone Call")</f>
        <v>0</v>
      </c>
      <c r="AC22">
        <f>COUNTIFS('Quote Log'!$B:$B,"&lt;&gt;VOID",'Quote Log'!$B:$B,"&lt;&gt;Requoted",'Quote Log'!$C:$C,"&gt;="&amp;DATE(2022,9,1),'Quote Log'!$C:$C,"&lt;="&amp;DATE(2022,9,30),'Quote Log'!$AK:$AK,"=Trade Show")</f>
        <v>0</v>
      </c>
      <c r="AD22">
        <f>COUNTIFS('Quote Log'!$B:$B,"&lt;&gt;VOID",'Quote Log'!$B:$B,"&lt;&gt;Requoted",'Quote Log'!$C:$C,"&gt;="&amp;DATE(2022,9,1),'Quote Log'!$C:$C,"&lt;="&amp;DATE(2022,9,30),'Quote Log'!$AK:$AK,"=Referral")</f>
        <v>0</v>
      </c>
      <c r="AE22" s="350" t="e">
        <f t="shared" si="29"/>
        <v>#N/A</v>
      </c>
      <c r="AF22">
        <f>COUNTIFS('Quote Log'!$B:$B,"&lt;&gt;VOID",'Quote Log'!$B:$B,"&lt;&gt;",'Quote Log'!$B:$B,"&lt;&gt;Cathy",'Quote Log'!$B:$B,"&lt;&gt;Larry",'Quote Log'!$B:$B,"&lt;&gt;LOST",'Quote Log'!$B:$B,"&lt;&gt;Purchased",'Quote Log'!$B:$B,"&lt;&gt;Max",'Quote Log'!$B:$B,"&lt;&gt;Quote Sent",'Quote Log'!$B:$B,"&lt;&gt;ISSUE",'Quote Log'!$B:$B,"&lt;&gt;Requoted",'Quote Log'!$C:$C,"&gt;="&amp;DATE(2022,9,1),'Quote Log'!$C:$C,"&lt;="&amp;DATE(2022,9,30))</f>
        <v>0</v>
      </c>
      <c r="AG22" s="350" t="e">
        <f t="shared" si="30"/>
        <v>#N/A</v>
      </c>
      <c r="AH22" s="358">
        <f>SUMIFS('Quote Log'!$AB:$AB,'Quote Log'!$B:$B,"=Quote Sent",'Quote Log'!$C:$C,"&gt;="&amp;DATE(2022,9,1),'Quote Log'!$C:$C,"&lt;="&amp;DATE(2022,9,30),'Quote Log'!$AB:$AB,"&lt;&gt;#VALUE!")</f>
        <v>0</v>
      </c>
      <c r="AI22" s="358" t="e">
        <f t="shared" si="31"/>
        <v>#N/A</v>
      </c>
      <c r="AJ22" s="358">
        <f>SUMIFS('Quote Log'!$AB:$AB,'Quote Log'!$B:$B,"=LOST",'Quote Log'!$C:$C,"&gt;="&amp;DATE(2022,9,1),'Quote Log'!$C:$C,"&lt;="&amp;DATE(2022,9,30),'Quote Log'!$AB:$AB,"&lt;&gt;#VALUE!")</f>
        <v>0</v>
      </c>
      <c r="AK22" s="358" t="e">
        <f t="shared" si="32"/>
        <v>#N/A</v>
      </c>
      <c r="AM22" s="339"/>
    </row>
    <row r="23" spans="1:39" x14ac:dyDescent="0.25">
      <c r="A23" s="338">
        <v>44835</v>
      </c>
      <c r="B23">
        <f>COUNTIFS('Quote Log'!$B:$B,"&lt;&gt;VOID",'Quote Log'!$B:$B,"&lt;&gt;Requoted",'Quote Log'!$C:$C,"&gt;="&amp;DATE(2022,10,1),'Quote Log'!$C:$C,"&lt;="&amp;DATE(2022,10,31))</f>
        <v>0</v>
      </c>
      <c r="C23" t="e">
        <f t="shared" si="17"/>
        <v>#N/A</v>
      </c>
      <c r="D23">
        <f>COUNTIFS('Quote Log'!$B:$B,"&lt;&gt;VOID",'Quote Log'!$B:$B,"&lt;&gt;Requoted",'Quote Log'!$H:$H,"&gt;="&amp;DATE(2022,10,1),'Quote Log'!$H:$H,"&lt;="&amp;DATE(2022,10,31))</f>
        <v>0</v>
      </c>
      <c r="E23" t="e">
        <f t="shared" si="18"/>
        <v>#N/A</v>
      </c>
      <c r="F23" t="e">
        <f t="shared" si="19"/>
        <v>#N/A</v>
      </c>
      <c r="G23">
        <f>COUNTIFS('Quote Log'!$C:$C,"&gt;="&amp;DATE(2022,10,1),'Quote Log'!$C:$C,"&lt;="&amp;DATE(2022,10,31),'Quote Log'!$B:$B,"=Purchased")</f>
        <v>0</v>
      </c>
      <c r="H23" s="350" t="e">
        <f t="shared" si="20"/>
        <v>#N/A</v>
      </c>
      <c r="I23" s="349" t="e">
        <f t="shared" si="4"/>
        <v>#DIV/0!</v>
      </c>
      <c r="J23" s="349" t="e">
        <f t="shared" si="21"/>
        <v>#N/A</v>
      </c>
      <c r="K23">
        <f>COUNTIFS('Quote Log'!$C:$C,"&gt;="&amp;DATE(2022,10,1),'Quote Log'!$C:$C,"&lt;="&amp;DATE(2022,10,31),'Quote Log'!$B:$B,"=LOST")</f>
        <v>0</v>
      </c>
      <c r="L23">
        <f>COUNTIFS('Quote Log'!$B:$B,"&lt;&gt;VOID",'Quote Log'!$B:$B,"&lt;&gt;Requoted",'Quote Log'!$C:$C,"&gt;="&amp;DATE(2022,10,1),'Quote Log'!$C:$C,"&lt;="&amp;DATE(2022,10,31),'Quote Log'!$V:$V,"=new")</f>
        <v>0</v>
      </c>
      <c r="M23" s="349" t="e">
        <f t="shared" si="6"/>
        <v>#DIV/0!</v>
      </c>
      <c r="N23" s="339" t="e">
        <f t="shared" si="22"/>
        <v>#N/A</v>
      </c>
      <c r="O23" s="358">
        <f>SUMIFS('Quote Log'!$AB:$AB,'Quote Log'!$C:$C,"&gt;="&amp;DATE(2022,10,1),'Quote Log'!$C:$C,"&lt;="&amp;DATE(2022,10,31),'Quote Log'!$B:$B,"=Purchased",'Quote Log'!$AB:$AB,"&lt;&gt;#VALUE!")</f>
        <v>0</v>
      </c>
      <c r="P23" s="358" t="e">
        <f t="shared" si="23"/>
        <v>#N/A</v>
      </c>
      <c r="Q23" s="349" t="e">
        <f t="shared" si="24"/>
        <v>#DIV/0!</v>
      </c>
      <c r="R23" s="349" t="e">
        <f t="shared" si="25"/>
        <v>#N/A</v>
      </c>
      <c r="S23" s="358">
        <f>SUMIFS('Quote Log'!$AB:$AB,'Quote Log'!$C:$C,"&gt;="&amp;DATE(2022,10,1),'Quote Log'!$C:$C,"&lt;="&amp;DATE(2022,10,31),'Quote Log'!$B:$B,"=Purchased",'Quote Log'!$AB:$AB,"&lt;&gt;#VALUE!")+S22</f>
        <v>0</v>
      </c>
      <c r="T23" s="358" t="e">
        <f t="shared" si="26"/>
        <v>#N/A</v>
      </c>
      <c r="U23" s="349" t="e">
        <f t="shared" si="27"/>
        <v>#DIV/0!</v>
      </c>
      <c r="V23" s="349" t="e">
        <f t="shared" si="28"/>
        <v>#N/A</v>
      </c>
      <c r="W23">
        <f>COUNTIFS('Quote Log'!$B:$B,"&lt;&gt;VOID",'Quote Log'!$B:$B,"&lt;&gt;Requoted",'Quote Log'!$C:$C,"&gt;="&amp;DATE(2022,10,1),'Quote Log'!$C:$C,"&lt;="&amp;DATE(2022,10,31),'Quote Log'!$AK:$AK,"=Web Unknown")</f>
        <v>0</v>
      </c>
      <c r="X23">
        <f>COUNTIFS('Quote Log'!$B:$B,"&lt;&gt;VOID",'Quote Log'!$B:$B,"&lt;&gt;Requoted",'Quote Log'!$C:$C,"&gt;="&amp;DATE(2022,10,1),'Quote Log'!$C:$C,"&lt;="&amp;DATE(2022,10,31),'Quote Log'!$AK:$AK,"=Google")</f>
        <v>0</v>
      </c>
      <c r="Y23">
        <f>COUNTIFS('Quote Log'!$B:$B,"&lt;&gt;VOID",'Quote Log'!$B:$B,"&lt;&gt;Requoted",'Quote Log'!$C:$C,"&gt;="&amp;DATE(2022,10,1),'Quote Log'!$C:$C,"&lt;="&amp;DATE(2022,10,31),'Quote Log'!$AK:$AK,"=Linked-In")</f>
        <v>0</v>
      </c>
      <c r="Z23">
        <f>COUNTIFS('Quote Log'!$B:$B,"&lt;&gt;VOID",'Quote Log'!$B:$B,"&lt;&gt;Requoted",'Quote Log'!$C:$C,"&gt;="&amp;DATE(2022,10,1),'Quote Log'!$C:$C,"&lt;="&amp;DATE(2022,10,31),'Quote Log'!$AK:$AK,"=Thomasnet")</f>
        <v>0</v>
      </c>
      <c r="AA23">
        <f t="shared" si="12"/>
        <v>0</v>
      </c>
      <c r="AB23">
        <f>COUNTIFS('Quote Log'!$B:$B,"&lt;&gt;VOID",'Quote Log'!$B:$B,"&lt;&gt;Requoted",'Quote Log'!$C:$C,"&gt;="&amp;DATE(2022,10,1),'Quote Log'!$C:$C,"&lt;="&amp;DATE(2022,10,31),'Quote Log'!$AK:$AK,"=Phone Call")</f>
        <v>0</v>
      </c>
      <c r="AC23">
        <f>COUNTIFS('Quote Log'!$B:$B,"&lt;&gt;VOID",'Quote Log'!$B:$B,"&lt;&gt;Requoted",'Quote Log'!$C:$C,"&gt;="&amp;DATE(2022,10,1),'Quote Log'!$C:$C,"&lt;="&amp;DATE(2022,10,31),'Quote Log'!$AK:$AK,"=Trade Show")</f>
        <v>0</v>
      </c>
      <c r="AD23">
        <f>COUNTIFS('Quote Log'!$B:$B,"&lt;&gt;VOID",'Quote Log'!$B:$B,"&lt;&gt;Requoted",'Quote Log'!$C:$C,"&gt;="&amp;DATE(2022,10,1),'Quote Log'!$C:$C,"&lt;="&amp;DATE(2022,10,31),'Quote Log'!$AK:$AK,"=Referral")</f>
        <v>0</v>
      </c>
      <c r="AE23" s="350" t="e">
        <f t="shared" si="29"/>
        <v>#N/A</v>
      </c>
      <c r="AF23">
        <f>COUNTIFS('Quote Log'!$B:$B,"&lt;&gt;VOID",'Quote Log'!$B:$B,"&lt;&gt;",'Quote Log'!$B:$B,"&lt;&gt;Cathy",'Quote Log'!$B:$B,"&lt;&gt;Larry",'Quote Log'!$B:$B,"&lt;&gt;LOST",'Quote Log'!$B:$B,"&lt;&gt;Purchased",'Quote Log'!$B:$B,"&lt;&gt;Max",'Quote Log'!$B:$B,"&lt;&gt;Quote Sent",'Quote Log'!$B:$B,"&lt;&gt;ISSUE",'Quote Log'!$B:$B,"&lt;&gt;Requoted",'Quote Log'!$C:$C,"&gt;="&amp;DATE(2022,10,1),'Quote Log'!$C:$C,"&lt;="&amp;DATE(2022,10,31))</f>
        <v>0</v>
      </c>
      <c r="AG23" s="350" t="e">
        <f t="shared" si="30"/>
        <v>#N/A</v>
      </c>
      <c r="AH23" s="358">
        <f>SUMIFS('Quote Log'!$AB:$AB,'Quote Log'!$B:$B,"=Quote Sent",'Quote Log'!$C:$C,"&gt;="&amp;DATE(2022,10,1),'Quote Log'!$C:$C,"&lt;="&amp;DATE(2022,10,31),'Quote Log'!$AB:$AB,"&lt;&gt;#VALUE!")</f>
        <v>0</v>
      </c>
      <c r="AI23" s="358" t="e">
        <f t="shared" si="31"/>
        <v>#N/A</v>
      </c>
      <c r="AJ23" s="358">
        <f>SUMIFS('Quote Log'!$AB:$AB,'Quote Log'!$B:$B,"=LOST",'Quote Log'!$C:$C,"&gt;="&amp;DATE(2022,10,1),'Quote Log'!$C:$C,"&lt;="&amp;DATE(2022,10,31),'Quote Log'!$AB:$AB,"&lt;&gt;#VALUE!")</f>
        <v>0</v>
      </c>
      <c r="AK23" s="358" t="e">
        <f t="shared" si="32"/>
        <v>#N/A</v>
      </c>
      <c r="AM23" s="339"/>
    </row>
    <row r="24" spans="1:39" x14ac:dyDescent="0.25">
      <c r="A24" s="338">
        <v>44866</v>
      </c>
      <c r="B24">
        <f>COUNTIFS('Quote Log'!$B:$B,"&lt;&gt;VOID",'Quote Log'!$B:$B,"&lt;&gt;Requoted",'Quote Log'!$C:$C,"&gt;="&amp;DATE(2022,11,1),'Quote Log'!$C:$C,"&lt;="&amp;DATE(2022,11,31))</f>
        <v>0</v>
      </c>
      <c r="C24" t="e">
        <f t="shared" si="17"/>
        <v>#N/A</v>
      </c>
      <c r="D24">
        <f>COUNTIFS('Quote Log'!$B:$B,"&lt;&gt;VOID",'Quote Log'!$B:$B,"&lt;&gt;Requoted",'Quote Log'!$H:$H,"&gt;="&amp;DATE(2022,11,1),'Quote Log'!$H:$H,"&lt;="&amp;DATE(2022,11,31))</f>
        <v>0</v>
      </c>
      <c r="E24" t="e">
        <f t="shared" si="18"/>
        <v>#N/A</v>
      </c>
      <c r="F24" t="e">
        <f t="shared" si="19"/>
        <v>#N/A</v>
      </c>
      <c r="G24">
        <f>COUNTIFS('Quote Log'!$C:$C,"&gt;="&amp;DATE(2022,11,1),'Quote Log'!$C:$C,"&lt;="&amp;DATE(2022,11,31),'Quote Log'!$B:$B,"=Purchased")</f>
        <v>0</v>
      </c>
      <c r="H24" s="350" t="e">
        <f t="shared" si="20"/>
        <v>#N/A</v>
      </c>
      <c r="I24" s="349" t="e">
        <f t="shared" si="4"/>
        <v>#DIV/0!</v>
      </c>
      <c r="J24" s="349" t="e">
        <f t="shared" si="21"/>
        <v>#N/A</v>
      </c>
      <c r="K24">
        <f>COUNTIFS('Quote Log'!$C:$C,"&gt;="&amp;DATE(2022,11,1),'Quote Log'!$C:$C,"&lt;="&amp;DATE(2022,11,31),'Quote Log'!$B:$B,"=LOST")</f>
        <v>0</v>
      </c>
      <c r="L24">
        <f>COUNTIFS('Quote Log'!$B:$B,"&lt;&gt;VOID",'Quote Log'!$B:$B,"&lt;&gt;Requoted",'Quote Log'!$C:$C,"&gt;="&amp;DATE(2022,11,1),'Quote Log'!$C:$C,"&lt;="&amp;DATE(2022,11,31),'Quote Log'!$V:$V,"=new")</f>
        <v>0</v>
      </c>
      <c r="M24" s="349" t="e">
        <f t="shared" si="6"/>
        <v>#DIV/0!</v>
      </c>
      <c r="N24" s="339" t="e">
        <f t="shared" si="22"/>
        <v>#N/A</v>
      </c>
      <c r="O24" s="358">
        <f>SUMIFS('Quote Log'!$AB:$AB,'Quote Log'!$C:$C,"&gt;="&amp;DATE(2022,11,1),'Quote Log'!$C:$C,"&lt;="&amp;DATE(2022,11,31),'Quote Log'!$B:$B,"=Purchased",'Quote Log'!$AB:$AB,"&lt;&gt;#VALUE!")</f>
        <v>0</v>
      </c>
      <c r="P24" s="358" t="e">
        <f t="shared" si="23"/>
        <v>#N/A</v>
      </c>
      <c r="Q24" s="349" t="e">
        <f t="shared" si="24"/>
        <v>#DIV/0!</v>
      </c>
      <c r="R24" s="349" t="e">
        <f t="shared" si="25"/>
        <v>#N/A</v>
      </c>
      <c r="S24" s="358">
        <f>SUMIFS('Quote Log'!$AB:$AB,'Quote Log'!$C:$C,"&gt;="&amp;DATE(2022,11,1),'Quote Log'!$C:$C,"&lt;="&amp;DATE(2022,11,31),'Quote Log'!$B:$B,"=Purchased",'Quote Log'!$AB:$AB,"&lt;&gt;#VALUE!")+S23</f>
        <v>0</v>
      </c>
      <c r="T24" s="358" t="e">
        <f t="shared" si="26"/>
        <v>#N/A</v>
      </c>
      <c r="U24" s="349" t="e">
        <f t="shared" si="27"/>
        <v>#DIV/0!</v>
      </c>
      <c r="V24" s="349" t="e">
        <f t="shared" si="28"/>
        <v>#N/A</v>
      </c>
      <c r="W24">
        <f>COUNTIFS('Quote Log'!$B:$B,"&lt;&gt;VOID",'Quote Log'!$B:$B,"&lt;&gt;Requoted",'Quote Log'!$C:$C,"&gt;="&amp;DATE(2022,11,1),'Quote Log'!$C:$C,"&lt;="&amp;DATE(2022,11,31),'Quote Log'!$AK:$AK,"=Web Unknown")</f>
        <v>0</v>
      </c>
      <c r="X24">
        <f>COUNTIFS('Quote Log'!$B:$B,"&lt;&gt;VOID",'Quote Log'!$B:$B,"&lt;&gt;Requoted",'Quote Log'!$C:$C,"&gt;="&amp;DATE(2022,11,1),'Quote Log'!$C:$C,"&lt;="&amp;DATE(2022,11,31),'Quote Log'!$AK:$AK,"=Google")</f>
        <v>0</v>
      </c>
      <c r="Y24">
        <f>COUNTIFS('Quote Log'!$B:$B,"&lt;&gt;VOID",'Quote Log'!$B:$B,"&lt;&gt;Requoted",'Quote Log'!$C:$C,"&gt;="&amp;DATE(2022,11,1),'Quote Log'!$C:$C,"&lt;="&amp;DATE(2022,11,31),'Quote Log'!$AK:$AK,"=Linked-In")</f>
        <v>0</v>
      </c>
      <c r="Z24">
        <f>COUNTIFS('Quote Log'!$B:$B,"&lt;&gt;VOID",'Quote Log'!$B:$B,"&lt;&gt;Requoted",'Quote Log'!$C:$C,"&gt;="&amp;DATE(2022,11,1),'Quote Log'!$C:$C,"&lt;="&amp;DATE(2022,11,31),'Quote Log'!$AK:$AK,"=Thomasnet")</f>
        <v>0</v>
      </c>
      <c r="AA24">
        <f t="shared" si="12"/>
        <v>0</v>
      </c>
      <c r="AB24">
        <f>COUNTIFS('Quote Log'!$B:$B,"&lt;&gt;VOID",'Quote Log'!$B:$B,"&lt;&gt;Requoted",'Quote Log'!$C:$C,"&gt;="&amp;DATE(2022,11,1),'Quote Log'!$C:$C,"&lt;="&amp;DATE(2022,11,31),'Quote Log'!$AK:$AK,"=Phone Call")</f>
        <v>0</v>
      </c>
      <c r="AC24">
        <f>COUNTIFS('Quote Log'!$B:$B,"&lt;&gt;VOID",'Quote Log'!$B:$B,"&lt;&gt;Requoted",'Quote Log'!$C:$C,"&gt;="&amp;DATE(2022,11,1),'Quote Log'!$C:$C,"&lt;="&amp;DATE(2022,11,31),'Quote Log'!$AK:$AK,"=Trade Show")</f>
        <v>0</v>
      </c>
      <c r="AD24">
        <f>COUNTIFS('Quote Log'!$B:$B,"&lt;&gt;VOID",'Quote Log'!$B:$B,"&lt;&gt;Requoted",'Quote Log'!$C:$C,"&gt;="&amp;DATE(2022,11,1),'Quote Log'!$C:$C,"&lt;="&amp;DATE(2022,11,31),'Quote Log'!$AK:$AK,"=Referral")</f>
        <v>0</v>
      </c>
      <c r="AE24" s="350" t="e">
        <f t="shared" si="29"/>
        <v>#N/A</v>
      </c>
      <c r="AF24">
        <f>COUNTIFS('Quote Log'!$B:$B,"&lt;&gt;VOID",'Quote Log'!$B:$B,"&lt;&gt;",'Quote Log'!$B:$B,"&lt;&gt;Cathy",'Quote Log'!$B:$B,"&lt;&gt;Larry",'Quote Log'!$B:$B,"&lt;&gt;LOST",'Quote Log'!$B:$B,"&lt;&gt;Purchased",'Quote Log'!$B:$B,"&lt;&gt;Max",'Quote Log'!$B:$B,"&lt;&gt;Quote Sent",'Quote Log'!$B:$B,"&lt;&gt;ISSUE",'Quote Log'!$B:$B,"&lt;&gt;Requoted",'Quote Log'!$C:$C,"&gt;="&amp;DATE(2022,11,1),'Quote Log'!$C:$C,"&lt;="&amp;DATE(2022,11,31))</f>
        <v>0</v>
      </c>
      <c r="AG24" s="350" t="e">
        <f t="shared" si="30"/>
        <v>#N/A</v>
      </c>
      <c r="AH24" s="358">
        <f>SUMIFS('Quote Log'!$AB:$AB,'Quote Log'!$B:$B,"=Quote Sent",'Quote Log'!$C:$C,"&gt;="&amp;DATE(2022,11,1),'Quote Log'!$C:$C,"&lt;="&amp;DATE(2022,11,31),'Quote Log'!$AB:$AB,"&lt;&gt;#VALUE!")</f>
        <v>0</v>
      </c>
      <c r="AI24" s="358" t="e">
        <f t="shared" si="31"/>
        <v>#N/A</v>
      </c>
      <c r="AJ24" s="358">
        <f>SUMIFS('Quote Log'!$AB:$AB,'Quote Log'!$B:$B,"=LOST",'Quote Log'!$C:$C,"&gt;="&amp;DATE(2022,11,1),'Quote Log'!$C:$C,"&lt;="&amp;DATE(2022,11,31),'Quote Log'!$AB:$AB,"&lt;&gt;#VALUE!")</f>
        <v>0</v>
      </c>
      <c r="AK24" s="358" t="e">
        <f t="shared" si="32"/>
        <v>#N/A</v>
      </c>
      <c r="AM24" s="339"/>
    </row>
    <row r="25" spans="1:39" x14ac:dyDescent="0.25">
      <c r="A25" s="338">
        <v>44896</v>
      </c>
      <c r="B25">
        <f>COUNTIFS('Quote Log'!$B:$B,"&lt;&gt;VOID",'Quote Log'!$B:$B,"&lt;&gt;Requoted",'Quote Log'!$C:$C,"&gt;="&amp;DATE(2022,12,1),'Quote Log'!$C:$C,"&lt;="&amp;DATE(2022,12,31))</f>
        <v>0</v>
      </c>
      <c r="C25" t="e">
        <f t="shared" si="17"/>
        <v>#N/A</v>
      </c>
      <c r="D25">
        <f>COUNTIFS('Quote Log'!$B:$B,"&lt;&gt;VOID",'Quote Log'!$B:$B,"&lt;&gt;Requoted",'Quote Log'!$H:$H,"&gt;="&amp;DATE(2022,12,1),'Quote Log'!$H:$H,"&lt;="&amp;DATE(2022,12,31))</f>
        <v>0</v>
      </c>
      <c r="E25" t="e">
        <f t="shared" si="18"/>
        <v>#N/A</v>
      </c>
      <c r="F25" t="e">
        <f t="shared" si="19"/>
        <v>#N/A</v>
      </c>
      <c r="G25">
        <f>COUNTIFS('Quote Log'!$C:$C,"&gt;="&amp;DATE(2022,12,1),'Quote Log'!$C:$C,"&lt;="&amp;DATE(2022,12,31),'Quote Log'!$B:$B,"=Purchased")</f>
        <v>0</v>
      </c>
      <c r="H25" s="350" t="e">
        <f t="shared" si="20"/>
        <v>#N/A</v>
      </c>
      <c r="I25" s="349" t="e">
        <f t="shared" si="4"/>
        <v>#DIV/0!</v>
      </c>
      <c r="J25" s="349" t="e">
        <f t="shared" si="21"/>
        <v>#N/A</v>
      </c>
      <c r="K25">
        <f>COUNTIFS('Quote Log'!$C:$C,"&gt;="&amp;DATE(2022,12,1),'Quote Log'!$C:$C,"&lt;="&amp;DATE(2022,12,31),'Quote Log'!$B:$B,"=LOST")</f>
        <v>0</v>
      </c>
      <c r="L25">
        <f>COUNTIFS('Quote Log'!$B:$B,"&lt;&gt;VOID",'Quote Log'!$B:$B,"&lt;&gt;Requoted",'Quote Log'!$C:$C,"&gt;="&amp;DATE(2022,12,1),'Quote Log'!$C:$C,"&lt;="&amp;DATE(2022,12,31),'Quote Log'!$V:$V,"=new")</f>
        <v>0</v>
      </c>
      <c r="M25" s="349" t="e">
        <f t="shared" si="6"/>
        <v>#DIV/0!</v>
      </c>
      <c r="N25" s="339" t="e">
        <f t="shared" si="22"/>
        <v>#N/A</v>
      </c>
      <c r="O25" s="358">
        <f>SUMIFS('Quote Log'!$AB:$AB,'Quote Log'!$C:$C,"&gt;="&amp;DATE(2022,12,1),'Quote Log'!$C:$C,"&lt;="&amp;DATE(2022,12,31),'Quote Log'!$B:$B,"=Purchased",'Quote Log'!$AB:$AB,"&lt;&gt;#VALUE!")</f>
        <v>0</v>
      </c>
      <c r="P25" s="358" t="e">
        <f t="shared" si="23"/>
        <v>#N/A</v>
      </c>
      <c r="Q25" s="349" t="e">
        <f t="shared" si="24"/>
        <v>#DIV/0!</v>
      </c>
      <c r="R25" s="349" t="e">
        <f t="shared" si="25"/>
        <v>#N/A</v>
      </c>
      <c r="S25" s="358">
        <f>SUMIFS('Quote Log'!$AB:$AB,'Quote Log'!$C:$C,"&gt;="&amp;DATE(2022,12,1),'Quote Log'!$C:$C,"&lt;="&amp;DATE(2022,12,31),'Quote Log'!$B:$B,"=Purchased",'Quote Log'!$AB:$AB,"&lt;&gt;#VALUE!")+S24</f>
        <v>0</v>
      </c>
      <c r="T25" s="358" t="e">
        <f t="shared" si="26"/>
        <v>#N/A</v>
      </c>
      <c r="U25" s="349" t="e">
        <f t="shared" si="27"/>
        <v>#DIV/0!</v>
      </c>
      <c r="V25" s="349" t="e">
        <f t="shared" si="28"/>
        <v>#N/A</v>
      </c>
      <c r="W25">
        <f>COUNTIFS('Quote Log'!$B:$B,"&lt;&gt;VOID",'Quote Log'!$B:$B,"&lt;&gt;Requoted",'Quote Log'!$C:$C,"&gt;="&amp;DATE(2022,12,1),'Quote Log'!$C:$C,"&lt;="&amp;DATE(2022,12,31),'Quote Log'!$AK:$AK,"=Web Unknown")</f>
        <v>0</v>
      </c>
      <c r="X25">
        <f>COUNTIFS('Quote Log'!$B:$B,"&lt;&gt;VOID",'Quote Log'!$B:$B,"&lt;&gt;Requoted",'Quote Log'!$C:$C,"&gt;="&amp;DATE(2022,12,1),'Quote Log'!$C:$C,"&lt;="&amp;DATE(2022,12,31),'Quote Log'!$AK:$AK,"=Google")</f>
        <v>0</v>
      </c>
      <c r="Y25">
        <f>COUNTIFS('Quote Log'!$B:$B,"&lt;&gt;VOID",'Quote Log'!$B:$B,"&lt;&gt;Requoted",'Quote Log'!$C:$C,"&gt;="&amp;DATE(2022,12,1),'Quote Log'!$C:$C,"&lt;="&amp;DATE(2022,12,31),'Quote Log'!$AK:$AK,"=Linked-In")</f>
        <v>0</v>
      </c>
      <c r="Z25">
        <f>COUNTIFS('Quote Log'!$B:$B,"&lt;&gt;VOID",'Quote Log'!$B:$B,"&lt;&gt;Requoted",'Quote Log'!$C:$C,"&gt;="&amp;DATE(2022,12,1),'Quote Log'!$C:$C,"&lt;="&amp;DATE(2022,12,31),'Quote Log'!$AK:$AK,"=Thomasnet")</f>
        <v>0</v>
      </c>
      <c r="AA25">
        <f t="shared" si="12"/>
        <v>0</v>
      </c>
      <c r="AB25">
        <f>COUNTIFS('Quote Log'!$B:$B,"&lt;&gt;VOID",'Quote Log'!$B:$B,"&lt;&gt;Requoted",'Quote Log'!$C:$C,"&gt;="&amp;DATE(2022,12,1),'Quote Log'!$C:$C,"&lt;="&amp;DATE(2022,12,31),'Quote Log'!$AK:$AK,"=Phone Call")</f>
        <v>0</v>
      </c>
      <c r="AC25">
        <f>COUNTIFS('Quote Log'!$B:$B,"&lt;&gt;VOID",'Quote Log'!$B:$B,"&lt;&gt;Requoted",'Quote Log'!$C:$C,"&gt;="&amp;DATE(2022,12,1),'Quote Log'!$C:$C,"&lt;="&amp;DATE(2022,12,31),'Quote Log'!$AK:$AK,"=Trade Show")</f>
        <v>0</v>
      </c>
      <c r="AD25">
        <f>COUNTIFS('Quote Log'!$B:$B,"&lt;&gt;VOID",'Quote Log'!$B:$B,"&lt;&gt;Requoted",'Quote Log'!$C:$C,"&gt;="&amp;DATE(2022,12,1),'Quote Log'!$C:$C,"&lt;="&amp;DATE(2022,12,31),'Quote Log'!$AK:$AK,"=Referral")</f>
        <v>0</v>
      </c>
      <c r="AE25" s="350" t="e">
        <f t="shared" si="29"/>
        <v>#N/A</v>
      </c>
      <c r="AF25">
        <f>COUNTIFS('Quote Log'!$B:$B,"&lt;&gt;VOID",'Quote Log'!$B:$B,"&lt;&gt;",'Quote Log'!$B:$B,"&lt;&gt;Cathy",'Quote Log'!$B:$B,"&lt;&gt;Larry",'Quote Log'!$B:$B,"&lt;&gt;LOST",'Quote Log'!$B:$B,"&lt;&gt;Purchased",'Quote Log'!$B:$B,"&lt;&gt;Max",'Quote Log'!$B:$B,"&lt;&gt;Quote Sent",'Quote Log'!$B:$B,"&lt;&gt;ISSUE",'Quote Log'!$B:$B,"&lt;&gt;Requoted",'Quote Log'!$C:$C,"&gt;="&amp;DATE(2022,12,1),'Quote Log'!$C:$C,"&lt;="&amp;DATE(2022,12,31))</f>
        <v>0</v>
      </c>
      <c r="AG25" s="350" t="e">
        <f t="shared" si="30"/>
        <v>#N/A</v>
      </c>
      <c r="AH25" s="358">
        <f>SUMIFS('Quote Log'!$AB:$AB,'Quote Log'!$B:$B,"=Quote Sent",'Quote Log'!$C:$C,"&gt;="&amp;DATE(2022,12,1),'Quote Log'!$C:$C,"&lt;="&amp;DATE(2022,12,31),'Quote Log'!$AB:$AB,"&lt;&gt;#VALUE!")</f>
        <v>0</v>
      </c>
      <c r="AI25" s="358" t="e">
        <f t="shared" si="31"/>
        <v>#N/A</v>
      </c>
      <c r="AJ25" s="358">
        <f>SUMIFS('Quote Log'!$AB:$AB,'Quote Log'!$B:$B,"=LOST",'Quote Log'!$C:$C,"&gt;="&amp;DATE(2022,12,1),'Quote Log'!$C:$C,"&lt;="&amp;DATE(2022,12,31),'Quote Log'!$AB:$AB,"&lt;&gt;#VALUE!")</f>
        <v>0</v>
      </c>
      <c r="AK25" s="358" t="e">
        <f t="shared" si="32"/>
        <v>#N/A</v>
      </c>
      <c r="AM25" s="339"/>
    </row>
    <row r="26" spans="1:39" x14ac:dyDescent="0.25">
      <c r="A26" s="338">
        <v>44927</v>
      </c>
      <c r="B26">
        <f>COUNTIFS('Quote Log'!$B:$B,"&lt;&gt;VOID",'Quote Log'!$B:$B,"&lt;&gt;Requoted",'Quote Log'!$C:$C,"&gt;="&amp;DATE(2023,1,1),'Quote Log'!$C:$C,"&lt;="&amp;DATE(2023,1,31))</f>
        <v>0</v>
      </c>
      <c r="C26">
        <f t="shared" ref="C26:C37" si="33">IF($AO$4,B26,NA())</f>
        <v>0</v>
      </c>
      <c r="D26">
        <f>COUNTIFS('Quote Log'!$B:$B,"&lt;&gt;VOID",'Quote Log'!$B:$B,"&lt;&gt;Requoted",'Quote Log'!$H:$H,"&gt;="&amp;DATE(2023,1,1),'Quote Log'!$H:$H,"&lt;="&amp;DATE(2023,1,31))</f>
        <v>0</v>
      </c>
      <c r="E26">
        <f t="shared" ref="E26:E37" si="34">IF($AO$4,D26,NA())</f>
        <v>0</v>
      </c>
      <c r="F26">
        <f t="shared" ref="F26:F37" si="35">IF(AO$4,G26,NA())</f>
        <v>0</v>
      </c>
      <c r="G26">
        <f>COUNTIFS('Quote Log'!$C:$C,"&gt;="&amp;DATE(2023,1,1),'Quote Log'!$C:$C,"&lt;="&amp;DATE(2023,1,31),'Quote Log'!$B:$B,"=Purchased")</f>
        <v>0</v>
      </c>
      <c r="H26" s="350">
        <f t="shared" ref="H26:H37" si="36">IF($AO$4,G26,NA())</f>
        <v>0</v>
      </c>
      <c r="I26" s="349" t="e">
        <f t="shared" si="4"/>
        <v>#DIV/0!</v>
      </c>
      <c r="J26" s="349" t="e">
        <f t="shared" ref="J26:J37" si="37">IF($AO$4,F26/B26,NA())</f>
        <v>#DIV/0!</v>
      </c>
      <c r="K26">
        <f>COUNTIFS('Quote Log'!$C:$C,"&gt;="&amp;DATE(2023,1,1),'Quote Log'!$C:$C,"&lt;="&amp;DATE(2023,1,31),'Quote Log'!$B:$B,"=LOST")</f>
        <v>0</v>
      </c>
      <c r="L26">
        <f>COUNTIFS('Quote Log'!$B:$B,"&lt;&gt;VOID",'Quote Log'!$B:$B,"&lt;&gt;Requoted",'Quote Log'!$C:$C,"&gt;="&amp;DATE(2023,1,1),'Quote Log'!$C:$C,"&lt;="&amp;DATE(2023,1,31),'Quote Log'!$V:$V,"=new")</f>
        <v>0</v>
      </c>
      <c r="M26" s="349" t="e">
        <f t="shared" si="6"/>
        <v>#DIV/0!</v>
      </c>
      <c r="N26" s="339" t="e">
        <f t="shared" ref="N26:N37" si="38">IF($AO$4,M26,NA())</f>
        <v>#DIV/0!</v>
      </c>
      <c r="O26" s="358">
        <f>SUMIFS('Quote Log'!$AB:$AB,'Quote Log'!$C:$C,"&gt;="&amp;DATE(2023,1,1),'Quote Log'!$C:$C,"&lt;="&amp;DATE(2023,1,31),'Quote Log'!$B:$B,"=Purchased",'Quote Log'!$AB:$AB,"&lt;&gt;#VALUE!")</f>
        <v>0</v>
      </c>
      <c r="P26" s="358">
        <f t="shared" ref="P26:P37" si="39">IF($AO$4,O26,NA())</f>
        <v>0</v>
      </c>
      <c r="Q26" s="349" t="e">
        <f t="shared" si="24"/>
        <v>#DIV/0!</v>
      </c>
      <c r="R26" s="349" t="e">
        <f t="shared" ref="R26:R37" si="40">IF($AO$4,Q26,NA())</f>
        <v>#DIV/0!</v>
      </c>
      <c r="S26" s="358">
        <f>SUMIFS('Quote Log'!$AB:$AB,'Quote Log'!$C:$C,"&gt;="&amp;DATE(2023,1,1),'Quote Log'!$C:$C,"&lt;="&amp;DATE(2023,1,31),'Quote Log'!$B:$B,"=Purchased",'Quote Log'!$AB:$AB,"&lt;&gt;#VALUE!")</f>
        <v>0</v>
      </c>
      <c r="T26" s="358">
        <f t="shared" ref="T26:T37" si="41">IF($AO$4,S26,NA())</f>
        <v>0</v>
      </c>
      <c r="U26" s="349" t="e">
        <f t="shared" si="27"/>
        <v>#DIV/0!</v>
      </c>
      <c r="V26" s="349" t="e">
        <f t="shared" ref="V26:V37" si="42">IF($AO$4,U26,NA())</f>
        <v>#DIV/0!</v>
      </c>
      <c r="W26">
        <f>COUNTIFS('Quote Log'!$B:$B,"&lt;&gt;VOID",'Quote Log'!$B:$B,"&lt;&gt;Requoted",'Quote Log'!$C:$C,"&gt;="&amp;DATE(2023,1,1),'Quote Log'!$C:$C,"&lt;="&amp;DATE(2023,1,31),'Quote Log'!$AK:$AK,"=Web Unknown")</f>
        <v>0</v>
      </c>
      <c r="X26">
        <f>COUNTIFS('Quote Log'!$B:$B,"&lt;&gt;VOID",'Quote Log'!$B:$B,"&lt;&gt;Requoted",'Quote Log'!$C:$C,"&gt;="&amp;DATE(2023,1,1),'Quote Log'!$C:$C,"&lt;="&amp;DATE(2023,1,31),'Quote Log'!$AK:$AK,"=Google")</f>
        <v>0</v>
      </c>
      <c r="Y26">
        <f>COUNTIFS('Quote Log'!$B:$B,"&lt;&gt;VOID",'Quote Log'!$B:$B,"&lt;&gt;Requoted",'Quote Log'!$C:$C,"&gt;="&amp;DATE(2023,1,1),'Quote Log'!$C:$C,"&lt;="&amp;DATE(2023,1,31),'Quote Log'!$AK:$AK,"=Linked-In")</f>
        <v>0</v>
      </c>
      <c r="Z26">
        <f>COUNTIFS('Quote Log'!$B:$B,"&lt;&gt;VOID",'Quote Log'!$B:$B,"&lt;&gt;Requoted",'Quote Log'!$C:$C,"&gt;="&amp;DATE(2023,1,1),'Quote Log'!$C:$C,"&lt;="&amp;DATE(2023,1,31),'Quote Log'!$AK:$AK,"=Thomasnet")</f>
        <v>0</v>
      </c>
      <c r="AA26">
        <f t="shared" si="12"/>
        <v>0</v>
      </c>
      <c r="AB26">
        <f>COUNTIFS('Quote Log'!$B:$B,"&lt;&gt;VOID",'Quote Log'!$B:$B,"&lt;&gt;Requoted",'Quote Log'!$C:$C,"&gt;="&amp;DATE(2023,1,1),'Quote Log'!$C:$C,"&lt;="&amp;DATE(2023,1,31),'Quote Log'!$AK:$AK,"=Phone Call")</f>
        <v>0</v>
      </c>
      <c r="AC26">
        <f>COUNTIFS('Quote Log'!$B:$B,"&lt;&gt;VOID",'Quote Log'!$B:$B,"&lt;&gt;Requoted",'Quote Log'!$C:$C,"&gt;="&amp;DATE(2023,1,1),'Quote Log'!$C:$C,"&lt;="&amp;DATE(2023,1,31),'Quote Log'!$AK:$AK,"=Trade Show")</f>
        <v>0</v>
      </c>
      <c r="AD26">
        <f>COUNTIFS('Quote Log'!$B:$B,"&lt;&gt;VOID",'Quote Log'!$B:$B,"&lt;&gt;Requoted",'Quote Log'!$C:$C,"&gt;="&amp;DATE(2023,1,1),'Quote Log'!$C:$C,"&lt;="&amp;DATE(2023,1,31),'Quote Log'!$AK:$AK,"=Referral")</f>
        <v>0</v>
      </c>
      <c r="AE26" s="350">
        <f t="shared" ref="AE26:AE37" si="43">IF($AO$4,W26,NA())</f>
        <v>0</v>
      </c>
      <c r="AF26">
        <f>COUNTIFS('Quote Log'!$B:$B,"&lt;&gt;VOID",'Quote Log'!$B:$B,"&lt;&gt;",'Quote Log'!$B:$B,"&lt;&gt;Cathy",'Quote Log'!$B:$B,"&lt;&gt;Larry",'Quote Log'!$B:$B,"&lt;&gt;LOST",'Quote Log'!$B:$B,"&lt;&gt;Purchased",'Quote Log'!$B:$B,"&lt;&gt;Max",'Quote Log'!$B:$B,"&lt;&gt;Quote Sent",'Quote Log'!$B:$B,"&lt;&gt;ISSUE",'Quote Log'!$B:$B,"&lt;&gt;Requoted",'Quote Log'!$C:$C,"&gt;="&amp;DATE(2023,1,1),'Quote Log'!$C:$C,"&lt;="&amp;DATE(2023,1,31))</f>
        <v>0</v>
      </c>
      <c r="AG26" s="350">
        <f t="shared" ref="AG26:AG37" si="44">IF($AO$4,AF26,NA())</f>
        <v>0</v>
      </c>
      <c r="AH26" s="358">
        <f>SUMIFS('Quote Log'!$AB:$AB,'Quote Log'!$B:$B,"=Quote Sent",'Quote Log'!$C:$C,"&gt;="&amp;DATE(2023,1,1),'Quote Log'!$C:$C,"&lt;="&amp;DATE(2023,1,31),'Quote Log'!$AB:$AB,"&lt;&gt;#VALUE!")</f>
        <v>0</v>
      </c>
      <c r="AI26" s="358">
        <f t="shared" ref="AI26:AI37" si="45">IF($AO$4,AH26,NA())</f>
        <v>0</v>
      </c>
      <c r="AJ26" s="358">
        <f>SUMIFS('Quote Log'!$AB:$AB,'Quote Log'!$B:$B,"=LOST",'Quote Log'!$C:$C,"&gt;="&amp;DATE(2023,1,1),'Quote Log'!$C:$C,"&lt;="&amp;DATE(2023,1,31),'Quote Log'!$AB:$AB,"&lt;&gt;#VALUE!")</f>
        <v>0</v>
      </c>
      <c r="AK26" s="358">
        <f t="shared" ref="AK26:AK37" si="46">IF($AO$4,AJ26,NA())</f>
        <v>0</v>
      </c>
      <c r="AM26" s="339"/>
    </row>
    <row r="27" spans="1:39" x14ac:dyDescent="0.25">
      <c r="A27" s="338">
        <v>44958</v>
      </c>
      <c r="B27">
        <f>COUNTIFS('Quote Log'!$B:$B,"&lt;&gt;VOID",'Quote Log'!$B:$B,"&lt;&gt;Requoted",'Quote Log'!$C:$C,"&gt;="&amp;DATE(2023,2,1),'Quote Log'!$C:$C,"&lt;="&amp;DATE(2023,2,28))</f>
        <v>0</v>
      </c>
      <c r="C27">
        <f t="shared" si="33"/>
        <v>0</v>
      </c>
      <c r="D27">
        <f>COUNTIFS('Quote Log'!$B:$B,"&lt;&gt;VOID",'Quote Log'!$B:$B,"&lt;&gt;Requoted",'Quote Log'!$H:$H,"&gt;="&amp;DATE(2023,2,1),'Quote Log'!$H:$H,"&lt;="&amp;DATE(2023,2,28))</f>
        <v>0</v>
      </c>
      <c r="E27">
        <f t="shared" si="34"/>
        <v>0</v>
      </c>
      <c r="F27">
        <f t="shared" si="35"/>
        <v>0</v>
      </c>
      <c r="G27">
        <f>COUNTIFS('Quote Log'!$C:$C,"&gt;="&amp;DATE(2023,2,1),'Quote Log'!$C:$C,"&lt;="&amp;DATE(2023,2,28),'Quote Log'!$B:$B,"=Purchased")</f>
        <v>0</v>
      </c>
      <c r="H27" s="350">
        <f t="shared" si="36"/>
        <v>0</v>
      </c>
      <c r="I27" s="349" t="e">
        <f t="shared" si="4"/>
        <v>#DIV/0!</v>
      </c>
      <c r="J27" s="349" t="e">
        <f t="shared" si="37"/>
        <v>#DIV/0!</v>
      </c>
      <c r="K27">
        <f>COUNTIFS('Quote Log'!$C:$C,"&gt;="&amp;DATE(2023,2,1),'Quote Log'!$C:$C,"&lt;="&amp;DATE(2023,2,28),'Quote Log'!$B:$B,"=LOST")</f>
        <v>0</v>
      </c>
      <c r="L27">
        <f>COUNTIFS('Quote Log'!$B:$B,"&lt;&gt;VOID",'Quote Log'!$B:$B,"&lt;&gt;Requoted",'Quote Log'!$C:$C,"&gt;="&amp;DATE(2023,2,1),'Quote Log'!$C:$C,"&lt;="&amp;DATE(2023,2,28),'Quote Log'!$V:$V,"=new")</f>
        <v>0</v>
      </c>
      <c r="M27" s="349" t="e">
        <f t="shared" si="6"/>
        <v>#DIV/0!</v>
      </c>
      <c r="N27" s="339" t="e">
        <f t="shared" si="38"/>
        <v>#DIV/0!</v>
      </c>
      <c r="O27" s="358">
        <f>SUMIFS('Quote Log'!$AB:$AB,'Quote Log'!$C:$C,"&gt;="&amp;DATE(2023,2,1),'Quote Log'!$C:$C,"&lt;="&amp;DATE(2023,2,28),'Quote Log'!$B:$B,"=Purchased",'Quote Log'!$AB:$AB,"&lt;&gt;#VALUE!")</f>
        <v>0</v>
      </c>
      <c r="P27" s="358">
        <f t="shared" si="39"/>
        <v>0</v>
      </c>
      <c r="Q27" s="349" t="e">
        <f t="shared" si="24"/>
        <v>#DIV/0!</v>
      </c>
      <c r="R27" s="349" t="e">
        <f t="shared" si="40"/>
        <v>#DIV/0!</v>
      </c>
      <c r="S27" s="358">
        <f>SUMIFS('Quote Log'!$AB:$AB,'Quote Log'!$C:$C,"&gt;="&amp;DATE(2023,2,1),'Quote Log'!$C:$C,"&lt;="&amp;DATE(2023,2,28),'Quote Log'!$B:$B,"=Purchased",'Quote Log'!$AB:$AB,"&lt;&gt;#VALUE!")+S26</f>
        <v>0</v>
      </c>
      <c r="T27" s="358">
        <f t="shared" si="41"/>
        <v>0</v>
      </c>
      <c r="U27" s="349" t="e">
        <f t="shared" si="27"/>
        <v>#DIV/0!</v>
      </c>
      <c r="V27" s="349" t="e">
        <f t="shared" si="42"/>
        <v>#DIV/0!</v>
      </c>
      <c r="W27">
        <f>COUNTIFS('Quote Log'!$B:$B,"&lt;&gt;VOID",'Quote Log'!$B:$B,"&lt;&gt;Requoted",'Quote Log'!$C:$C,"&gt;="&amp;DATE(2023,2,1),'Quote Log'!$C:$C,"&lt;="&amp;DATE(2023,2,28),'Quote Log'!$AK:$AK,"=Web Unknown")</f>
        <v>0</v>
      </c>
      <c r="X27">
        <f>COUNTIFS('Quote Log'!$B:$B,"&lt;&gt;VOID",'Quote Log'!$B:$B,"&lt;&gt;Requoted",'Quote Log'!$C:$C,"&gt;="&amp;DATE(2023,2,1),'Quote Log'!$C:$C,"&lt;="&amp;DATE(2023,2,28),'Quote Log'!$AK:$AK,"=Google")</f>
        <v>0</v>
      </c>
      <c r="Y27">
        <f>COUNTIFS('Quote Log'!$B:$B,"&lt;&gt;VOID",'Quote Log'!$B:$B,"&lt;&gt;Requoted",'Quote Log'!$C:$C,"&gt;="&amp;DATE(2023,2,1),'Quote Log'!$C:$C,"&lt;="&amp;DATE(2023,2,28),'Quote Log'!$AK:$AK,"=Linked-In")</f>
        <v>0</v>
      </c>
      <c r="Z27">
        <f>COUNTIFS('Quote Log'!$B:$B,"&lt;&gt;VOID",'Quote Log'!$B:$B,"&lt;&gt;Requoted",'Quote Log'!$C:$C,"&gt;="&amp;DATE(2023,2,1),'Quote Log'!$C:$C,"&lt;="&amp;DATE(2023,2,28),'Quote Log'!$AK:$AK,"=Thomasnet")</f>
        <v>0</v>
      </c>
      <c r="AA27">
        <f t="shared" si="12"/>
        <v>0</v>
      </c>
      <c r="AB27">
        <f>COUNTIFS('Quote Log'!$B:$B,"&lt;&gt;VOID",'Quote Log'!$B:$B,"&lt;&gt;Requoted",'Quote Log'!$C:$C,"&gt;="&amp;DATE(2023,2,1),'Quote Log'!$C:$C,"&lt;="&amp;DATE(2023,2,28),'Quote Log'!$AK:$AK,"=Phone Call")</f>
        <v>0</v>
      </c>
      <c r="AC27">
        <f>COUNTIFS('Quote Log'!$B:$B,"&lt;&gt;VOID",'Quote Log'!$B:$B,"&lt;&gt;Requoted",'Quote Log'!$C:$C,"&gt;="&amp;DATE(2023,2,1),'Quote Log'!$C:$C,"&lt;="&amp;DATE(2023,2,28),'Quote Log'!$AK:$AK,"=Trade Show")</f>
        <v>0</v>
      </c>
      <c r="AD27">
        <f>COUNTIFS('Quote Log'!$B:$B,"&lt;&gt;VOID",'Quote Log'!$B:$B,"&lt;&gt;Requoted",'Quote Log'!$C:$C,"&gt;="&amp;DATE(2023,2,1),'Quote Log'!$C:$C,"&lt;="&amp;DATE(2023,2,28),'Quote Log'!$AK:$AK,"=Referral")</f>
        <v>0</v>
      </c>
      <c r="AE27" s="350">
        <f t="shared" si="43"/>
        <v>0</v>
      </c>
      <c r="AF27">
        <f>COUNTIFS('Quote Log'!$B:$B,"&lt;&gt;VOID",'Quote Log'!$B:$B,"&lt;&gt;",'Quote Log'!$B:$B,"&lt;&gt;Cathy",'Quote Log'!$B:$B,"&lt;&gt;Larry",'Quote Log'!$B:$B,"&lt;&gt;LOST",'Quote Log'!$B:$B,"&lt;&gt;Purchased",'Quote Log'!$B:$B,"&lt;&gt;Max",'Quote Log'!$B:$B,"&lt;&gt;Quote Sent",'Quote Log'!$B:$B,"&lt;&gt;ISSUE",'Quote Log'!$B:$B,"&lt;&gt;Requoted",'Quote Log'!$C:$C,"&gt;="&amp;DATE(2023,2,1),'Quote Log'!$C:$C,"&lt;="&amp;DATE(2023,2,28))</f>
        <v>0</v>
      </c>
      <c r="AG27" s="350">
        <f t="shared" si="44"/>
        <v>0</v>
      </c>
      <c r="AH27" s="358">
        <f>SUMIFS('Quote Log'!$AB:$AB,'Quote Log'!$B:$B,"=Quote Sent",'Quote Log'!$C:$C,"&gt;="&amp;DATE(2023,2,1),'Quote Log'!$C:$C,"&lt;="&amp;DATE(2023,2,28),'Quote Log'!$AB:$AB,"&lt;&gt;#VALUE!")</f>
        <v>0</v>
      </c>
      <c r="AI27" s="358">
        <f t="shared" si="45"/>
        <v>0</v>
      </c>
      <c r="AJ27" s="358">
        <f>SUMIFS('Quote Log'!$AB:$AB,'Quote Log'!$B:$B,"=LOST",'Quote Log'!$C:$C,"&gt;="&amp;DATE(2023,2,1),'Quote Log'!$C:$C,"&lt;="&amp;DATE(2023,2,28),'Quote Log'!$AB:$AB,"&lt;&gt;#VALUE!")</f>
        <v>0</v>
      </c>
      <c r="AK27" s="358">
        <f t="shared" si="46"/>
        <v>0</v>
      </c>
      <c r="AM27" s="339"/>
    </row>
    <row r="28" spans="1:39" x14ac:dyDescent="0.25">
      <c r="A28" s="338">
        <v>44986</v>
      </c>
      <c r="B28">
        <f>COUNTIFS('Quote Log'!$B:$B,"&lt;&gt;VOID",'Quote Log'!$B:$B,"&lt;&gt;Requoted",'Quote Log'!$C:$C,"&gt;="&amp;DATE(2023,3,1),'Quote Log'!$C:$C,"&lt;="&amp;DATE(2023,3,31))</f>
        <v>0</v>
      </c>
      <c r="C28">
        <f t="shared" si="33"/>
        <v>0</v>
      </c>
      <c r="D28">
        <f>COUNTIFS('Quote Log'!$B:$B,"&lt;&gt;VOID",'Quote Log'!$B:$B,"&lt;&gt;Requoted",'Quote Log'!$H:$H,"&gt;="&amp;DATE(2023,3,1),'Quote Log'!$H:$H,"&lt;="&amp;DATE(2023,3,31))</f>
        <v>0</v>
      </c>
      <c r="E28">
        <f t="shared" si="34"/>
        <v>0</v>
      </c>
      <c r="F28">
        <f t="shared" si="35"/>
        <v>0</v>
      </c>
      <c r="G28">
        <f>COUNTIFS('Quote Log'!$C:$C,"&gt;="&amp;DATE(2023,3,1),'Quote Log'!$C:$C,"&lt;="&amp;DATE(2023,3,31),'Quote Log'!$B:$B,"=Purchased")</f>
        <v>0</v>
      </c>
      <c r="H28" s="350">
        <f t="shared" si="36"/>
        <v>0</v>
      </c>
      <c r="I28" s="349" t="e">
        <f t="shared" si="4"/>
        <v>#DIV/0!</v>
      </c>
      <c r="J28" s="349" t="e">
        <f t="shared" si="37"/>
        <v>#DIV/0!</v>
      </c>
      <c r="K28">
        <f>COUNTIFS('Quote Log'!$C:$C,"&gt;="&amp;DATE(2023,3,1),'Quote Log'!$C:$C,"&lt;="&amp;DATE(2023,3,31),'Quote Log'!$B:$B,"=LOST")</f>
        <v>0</v>
      </c>
      <c r="L28">
        <f>COUNTIFS('Quote Log'!$B:$B,"&lt;&gt;VOID",'Quote Log'!$B:$B,"&lt;&gt;Requoted",'Quote Log'!$C:$C,"&gt;="&amp;DATE(2023,3,1),'Quote Log'!$C:$C,"&lt;="&amp;DATE(2023,3,31),'Quote Log'!$V:$V,"=new")</f>
        <v>0</v>
      </c>
      <c r="M28" s="349" t="e">
        <f t="shared" si="6"/>
        <v>#DIV/0!</v>
      </c>
      <c r="N28" s="339" t="e">
        <f t="shared" si="38"/>
        <v>#DIV/0!</v>
      </c>
      <c r="O28" s="358">
        <f>SUMIFS('Quote Log'!$AB:$AB,'Quote Log'!$C:$C,"&gt;="&amp;DATE(2023,3,1),'Quote Log'!$C:$C,"&lt;="&amp;DATE(2023,3,31),'Quote Log'!$B:$B,"=Purchased",'Quote Log'!$AB:$AB,"&lt;&gt;#VALUE!")</f>
        <v>0</v>
      </c>
      <c r="P28" s="358">
        <f t="shared" si="39"/>
        <v>0</v>
      </c>
      <c r="Q28" s="349" t="e">
        <f t="shared" si="24"/>
        <v>#DIV/0!</v>
      </c>
      <c r="R28" s="349" t="e">
        <f t="shared" si="40"/>
        <v>#DIV/0!</v>
      </c>
      <c r="S28" s="358">
        <f>SUMIFS('Quote Log'!$AB:$AB,'Quote Log'!$C:$C,"&gt;="&amp;DATE(2023,3,1),'Quote Log'!$C:$C,"&lt;="&amp;DATE(2023,3,31),'Quote Log'!$B:$B,"=Purchased",'Quote Log'!$AB:$AB,"&lt;&gt;#VALUE!")+S27</f>
        <v>0</v>
      </c>
      <c r="T28" s="358">
        <f t="shared" si="41"/>
        <v>0</v>
      </c>
      <c r="U28" s="349" t="e">
        <f t="shared" si="27"/>
        <v>#DIV/0!</v>
      </c>
      <c r="V28" s="349" t="e">
        <f t="shared" si="42"/>
        <v>#DIV/0!</v>
      </c>
      <c r="W28">
        <f>COUNTIFS('Quote Log'!$B:$B,"&lt;&gt;VOID",'Quote Log'!$B:$B,"&lt;&gt;Requoted",'Quote Log'!$C:$C,"&gt;="&amp;DATE(2023,3,1),'Quote Log'!$C:$C,"&lt;="&amp;DATE(2023,3,31),'Quote Log'!$AK:$AK,"=Web Unknown")</f>
        <v>0</v>
      </c>
      <c r="X28">
        <f>COUNTIFS('Quote Log'!$B:$B,"&lt;&gt;VOID",'Quote Log'!$B:$B,"&lt;&gt;Requoted",'Quote Log'!$C:$C,"&gt;="&amp;DATE(2023,3,1),'Quote Log'!$C:$C,"&lt;="&amp;DATE(2023,3,31),'Quote Log'!$AK:$AK,"=Google")</f>
        <v>0</v>
      </c>
      <c r="Y28">
        <f>COUNTIFS('Quote Log'!$B:$B,"&lt;&gt;VOID",'Quote Log'!$B:$B,"&lt;&gt;Requoted",'Quote Log'!$C:$C,"&gt;="&amp;DATE(2023,3,1),'Quote Log'!$C:$C,"&lt;="&amp;DATE(2023,3,31),'Quote Log'!$AK:$AK,"=Linked-In")</f>
        <v>0</v>
      </c>
      <c r="Z28">
        <f>COUNTIFS('Quote Log'!$B:$B,"&lt;&gt;VOID",'Quote Log'!$B:$B,"&lt;&gt;Requoted",'Quote Log'!$C:$C,"&gt;="&amp;DATE(2023,3,1),'Quote Log'!$C:$C,"&lt;="&amp;DATE(2023,3,31),'Quote Log'!$AK:$AK,"=Thomasnet")</f>
        <v>0</v>
      </c>
      <c r="AA28">
        <f t="shared" si="12"/>
        <v>0</v>
      </c>
      <c r="AB28">
        <f>COUNTIFS('Quote Log'!$B:$B,"&lt;&gt;VOID",'Quote Log'!$B:$B,"&lt;&gt;Requoted",'Quote Log'!$C:$C,"&gt;="&amp;DATE(2023,3,1),'Quote Log'!$C:$C,"&lt;="&amp;DATE(2023,3,31),'Quote Log'!$AK:$AK,"=Phone Call")</f>
        <v>0</v>
      </c>
      <c r="AC28">
        <f>COUNTIFS('Quote Log'!$B:$B,"&lt;&gt;VOID",'Quote Log'!$B:$B,"&lt;&gt;Requoted",'Quote Log'!$C:$C,"&gt;="&amp;DATE(2023,3,1),'Quote Log'!$C:$C,"&lt;="&amp;DATE(2023,3,31),'Quote Log'!$AK:$AK,"=Trade Show")</f>
        <v>0</v>
      </c>
      <c r="AD28">
        <f>COUNTIFS('Quote Log'!$B:$B,"&lt;&gt;VOID",'Quote Log'!$B:$B,"&lt;&gt;Requoted",'Quote Log'!$C:$C,"&gt;="&amp;DATE(2023,3,1),'Quote Log'!$C:$C,"&lt;="&amp;DATE(2023,3,31),'Quote Log'!$AK:$AK,"=Referral")</f>
        <v>0</v>
      </c>
      <c r="AE28" s="350">
        <f t="shared" si="43"/>
        <v>0</v>
      </c>
      <c r="AF28">
        <f>COUNTIFS('Quote Log'!$B:$B,"&lt;&gt;VOID",'Quote Log'!$B:$B,"&lt;&gt;",'Quote Log'!$B:$B,"&lt;&gt;Cathy",'Quote Log'!$B:$B,"&lt;&gt;Larry",'Quote Log'!$B:$B,"&lt;&gt;LOST",'Quote Log'!$B:$B,"&lt;&gt;Purchased",'Quote Log'!$B:$B,"&lt;&gt;Max",'Quote Log'!$B:$B,"&lt;&gt;Quote Sent",'Quote Log'!$B:$B,"&lt;&gt;ISSUE",'Quote Log'!$B:$B,"&lt;&gt;Requoted",'Quote Log'!$C:$C,"&gt;="&amp;DATE(2023,3,1),'Quote Log'!$C:$C,"&lt;="&amp;DATE(2023,3,31))</f>
        <v>0</v>
      </c>
      <c r="AG28" s="350">
        <f t="shared" si="44"/>
        <v>0</v>
      </c>
      <c r="AH28" s="358">
        <f>SUMIFS('Quote Log'!$AB:$AB,'Quote Log'!$B:$B,"=Quote Sent",'Quote Log'!$C:$C,"&gt;="&amp;DATE(2023,3,1),'Quote Log'!$C:$C,"&lt;="&amp;DATE(2023,3,31),'Quote Log'!$AB:$AB,"&lt;&gt;#VALUE!")</f>
        <v>0</v>
      </c>
      <c r="AI28" s="358">
        <f t="shared" si="45"/>
        <v>0</v>
      </c>
      <c r="AJ28" s="358">
        <f>SUMIFS('Quote Log'!$AB:$AB,'Quote Log'!$B:$B,"=LOST",'Quote Log'!$C:$C,"&gt;="&amp;DATE(2023,3,1),'Quote Log'!$C:$C,"&lt;="&amp;DATE(2023,3,31),'Quote Log'!$AB:$AB,"&lt;&gt;#VALUE!")</f>
        <v>0</v>
      </c>
      <c r="AK28" s="358">
        <f t="shared" si="46"/>
        <v>0</v>
      </c>
      <c r="AM28" s="339"/>
    </row>
    <row r="29" spans="1:39" x14ac:dyDescent="0.25">
      <c r="A29" s="338">
        <v>45017</v>
      </c>
      <c r="B29">
        <f>COUNTIFS('Quote Log'!$B:$B,"&lt;&gt;VOID",'Quote Log'!$B:$B,"&lt;&gt;Requoted",'Quote Log'!$C:$C,"&gt;="&amp;DATE(2023,4,1),'Quote Log'!$C:$C,"&lt;="&amp;DATE(2023,4,30))</f>
        <v>0</v>
      </c>
      <c r="C29">
        <f t="shared" si="33"/>
        <v>0</v>
      </c>
      <c r="D29">
        <f>COUNTIFS('Quote Log'!$B:$B,"&lt;&gt;VOID",'Quote Log'!$B:$B,"&lt;&gt;Requoted",'Quote Log'!$H:$H,"&gt;="&amp;DATE(2023,4,1),'Quote Log'!$H:$H,"&lt;="&amp;DATE(2023,4,30))</f>
        <v>0</v>
      </c>
      <c r="E29">
        <f t="shared" si="34"/>
        <v>0</v>
      </c>
      <c r="F29">
        <f t="shared" si="35"/>
        <v>0</v>
      </c>
      <c r="G29">
        <f>COUNTIFS('Quote Log'!$C:$C,"&gt;="&amp;DATE(2023,4,1),'Quote Log'!$C:$C,"&lt;="&amp;DATE(2023,4,30),'Quote Log'!$B:$B,"=Purchased")</f>
        <v>0</v>
      </c>
      <c r="H29" s="350">
        <f t="shared" si="36"/>
        <v>0</v>
      </c>
      <c r="I29" s="349" t="e">
        <f t="shared" si="4"/>
        <v>#DIV/0!</v>
      </c>
      <c r="J29" s="349" t="e">
        <f t="shared" si="37"/>
        <v>#DIV/0!</v>
      </c>
      <c r="K29">
        <f>COUNTIFS('Quote Log'!$C:$C,"&gt;="&amp;DATE(2023,4,1),'Quote Log'!$C:$C,"&lt;="&amp;DATE(2023,4,30),'Quote Log'!$B:$B,"=LOST")</f>
        <v>0</v>
      </c>
      <c r="L29">
        <f>COUNTIFS('Quote Log'!$B:$B,"&lt;&gt;VOID",'Quote Log'!$B:$B,"&lt;&gt;Requoted",'Quote Log'!$C:$C,"&gt;="&amp;DATE(2023,4,1),'Quote Log'!$C:$C,"&lt;="&amp;DATE(2023,4,30),'Quote Log'!$V:$V,"=new")</f>
        <v>0</v>
      </c>
      <c r="M29" s="349" t="e">
        <f t="shared" si="6"/>
        <v>#DIV/0!</v>
      </c>
      <c r="N29" s="339" t="e">
        <f t="shared" si="38"/>
        <v>#DIV/0!</v>
      </c>
      <c r="O29" s="358">
        <f>SUMIFS('Quote Log'!$AB:$AB,'Quote Log'!$C:$C,"&gt;="&amp;DATE(2023,4,1),'Quote Log'!$C:$C,"&lt;="&amp;DATE(2023,4,30),'Quote Log'!$B:$B,"=Purchased",'Quote Log'!$AB:$AB,"&lt;&gt;#VALUE!")</f>
        <v>0</v>
      </c>
      <c r="P29" s="358">
        <f t="shared" si="39"/>
        <v>0</v>
      </c>
      <c r="Q29" s="349" t="e">
        <f t="shared" si="24"/>
        <v>#DIV/0!</v>
      </c>
      <c r="R29" s="349" t="e">
        <f t="shared" si="40"/>
        <v>#DIV/0!</v>
      </c>
      <c r="S29" s="358">
        <f>SUMIFS('Quote Log'!$AB:$AB,'Quote Log'!$C:$C,"&gt;="&amp;DATE(2023,4,1),'Quote Log'!$C:$C,"&lt;="&amp;DATE(2023,4,30),'Quote Log'!$B:$B,"=Purchased",'Quote Log'!$AB:$AB,"&lt;&gt;#VALUE!")+S28</f>
        <v>0</v>
      </c>
      <c r="T29" s="358">
        <f t="shared" si="41"/>
        <v>0</v>
      </c>
      <c r="U29" s="349" t="e">
        <f t="shared" si="27"/>
        <v>#DIV/0!</v>
      </c>
      <c r="V29" s="349" t="e">
        <f t="shared" si="42"/>
        <v>#DIV/0!</v>
      </c>
      <c r="W29">
        <f>COUNTIFS('Quote Log'!$B:$B,"&lt;&gt;VOID",'Quote Log'!$B:$B,"&lt;&gt;Requoted",'Quote Log'!$C:$C,"&gt;="&amp;DATE(2023,4,1),'Quote Log'!$C:$C,"&lt;="&amp;DATE(2023,4,30),'Quote Log'!$AK:$AK,"=Web Unknown")</f>
        <v>0</v>
      </c>
      <c r="X29">
        <f>COUNTIFS('Quote Log'!$B:$B,"&lt;&gt;VOID",'Quote Log'!$B:$B,"&lt;&gt;Requoted",'Quote Log'!$C:$C,"&gt;="&amp;DATE(2023,4,1),'Quote Log'!$C:$C,"&lt;="&amp;DATE(2023,4,30),'Quote Log'!$AK:$AK,"=Google")</f>
        <v>0</v>
      </c>
      <c r="Y29">
        <f>COUNTIFS('Quote Log'!$B:$B,"&lt;&gt;VOID",'Quote Log'!$B:$B,"&lt;&gt;Requoted",'Quote Log'!$C:$C,"&gt;="&amp;DATE(2023,4,1),'Quote Log'!$C:$C,"&lt;="&amp;DATE(2023,4,30),'Quote Log'!$AK:$AK,"=Linked-In")</f>
        <v>0</v>
      </c>
      <c r="Z29">
        <f>COUNTIFS('Quote Log'!$B:$B,"&lt;&gt;VOID",'Quote Log'!$B:$B,"&lt;&gt;Requoted",'Quote Log'!$C:$C,"&gt;="&amp;DATE(2023,4,1),'Quote Log'!$C:$C,"&lt;="&amp;DATE(2023,4,30),'Quote Log'!$AK:$AK,"=Thomasnet")</f>
        <v>0</v>
      </c>
      <c r="AA29">
        <f t="shared" si="12"/>
        <v>0</v>
      </c>
      <c r="AB29">
        <f>COUNTIFS('Quote Log'!$B:$B,"&lt;&gt;VOID",'Quote Log'!$B:$B,"&lt;&gt;Requoted",'Quote Log'!$C:$C,"&gt;="&amp;DATE(2023,4,1),'Quote Log'!$C:$C,"&lt;="&amp;DATE(2023,4,30),'Quote Log'!$AK:$AK,"=Phone Call")</f>
        <v>0</v>
      </c>
      <c r="AC29">
        <f>COUNTIFS('Quote Log'!$B:$B,"&lt;&gt;VOID",'Quote Log'!$B:$B,"&lt;&gt;Requoted",'Quote Log'!$C:$C,"&gt;="&amp;DATE(2023,4,1),'Quote Log'!$C:$C,"&lt;="&amp;DATE(2023,4,30),'Quote Log'!$AK:$AK,"=Trade Show")</f>
        <v>0</v>
      </c>
      <c r="AD29">
        <f>COUNTIFS('Quote Log'!$B:$B,"&lt;&gt;VOID",'Quote Log'!$B:$B,"&lt;&gt;Requoted",'Quote Log'!$C:$C,"&gt;="&amp;DATE(2023,4,1),'Quote Log'!$C:$C,"&lt;="&amp;DATE(2023,4,30),'Quote Log'!$AK:$AK,"=Referral")</f>
        <v>0</v>
      </c>
      <c r="AE29" s="350">
        <f t="shared" si="43"/>
        <v>0</v>
      </c>
      <c r="AF29">
        <f>COUNTIFS('Quote Log'!$B:$B,"&lt;&gt;VOID",'Quote Log'!$B:$B,"&lt;&gt;",'Quote Log'!$B:$B,"&lt;&gt;Cathy",'Quote Log'!$B:$B,"&lt;&gt;Larry",'Quote Log'!$B:$B,"&lt;&gt;LOST",'Quote Log'!$B:$B,"&lt;&gt;Purchased",'Quote Log'!$B:$B,"&lt;&gt;Max",'Quote Log'!$B:$B,"&lt;&gt;Quote Sent",'Quote Log'!$B:$B,"&lt;&gt;ISSUE",'Quote Log'!$B:$B,"&lt;&gt;Requoted",'Quote Log'!$C:$C,"&gt;="&amp;DATE(2023,4,1),'Quote Log'!$C:$C,"&lt;="&amp;DATE(2023,4,30))</f>
        <v>0</v>
      </c>
      <c r="AG29" s="350">
        <f t="shared" si="44"/>
        <v>0</v>
      </c>
      <c r="AH29" s="358">
        <f>SUMIFS('Quote Log'!$AB:$AB,'Quote Log'!$B:$B,"=Quote Sent",'Quote Log'!$C:$C,"&gt;="&amp;DATE(2023,4,1),'Quote Log'!$C:$C,"&lt;="&amp;DATE(2023,4,30),'Quote Log'!$AB:$AB,"&lt;&gt;#VALUE!")</f>
        <v>0</v>
      </c>
      <c r="AI29" s="358">
        <f t="shared" si="45"/>
        <v>0</v>
      </c>
      <c r="AJ29" s="358">
        <f>SUMIFS('Quote Log'!$AB:$AB,'Quote Log'!$B:$B,"=LOST",'Quote Log'!$C:$C,"&gt;="&amp;DATE(2023,4,1),'Quote Log'!$C:$C,"&lt;="&amp;DATE(2023,4,30),'Quote Log'!$AB:$AB,"&lt;&gt;#VALUE!")</f>
        <v>0</v>
      </c>
      <c r="AK29" s="358">
        <f t="shared" si="46"/>
        <v>0</v>
      </c>
      <c r="AM29" s="339"/>
    </row>
    <row r="30" spans="1:39" x14ac:dyDescent="0.25">
      <c r="A30" s="338">
        <v>45047</v>
      </c>
      <c r="B30">
        <f>COUNTIFS('Quote Log'!$B:$B,"&lt;&gt;VOID",'Quote Log'!$B:$B,"&lt;&gt;Requoted",'Quote Log'!$C:$C,"&gt;="&amp;DATE(2023,5,1),'Quote Log'!$C:$C,"&lt;="&amp;DATE(2023,5,31))</f>
        <v>0</v>
      </c>
      <c r="C30">
        <f t="shared" si="33"/>
        <v>0</v>
      </c>
      <c r="D30">
        <f>COUNTIFS('Quote Log'!$B:$B,"&lt;&gt;VOID",'Quote Log'!$B:$B,"&lt;&gt;Requoted",'Quote Log'!$H:$H,"&gt;="&amp;DATE(2023,5,1),'Quote Log'!$H:$H,"&lt;="&amp;DATE(2023,5,31))</f>
        <v>0</v>
      </c>
      <c r="E30">
        <f t="shared" si="34"/>
        <v>0</v>
      </c>
      <c r="F30">
        <f t="shared" si="35"/>
        <v>0</v>
      </c>
      <c r="G30">
        <f>COUNTIFS('Quote Log'!$C:$C,"&gt;="&amp;DATE(2023,5,1),'Quote Log'!$C:$C,"&lt;="&amp;DATE(2023,5,31),'Quote Log'!$B:$B,"=Purchased")</f>
        <v>0</v>
      </c>
      <c r="H30" s="350">
        <f t="shared" si="36"/>
        <v>0</v>
      </c>
      <c r="I30" s="349" t="e">
        <f t="shared" si="4"/>
        <v>#DIV/0!</v>
      </c>
      <c r="J30" s="349" t="e">
        <f t="shared" si="37"/>
        <v>#DIV/0!</v>
      </c>
      <c r="K30">
        <f>COUNTIFS('Quote Log'!$C:$C,"&gt;="&amp;DATE(2023,5,1),'Quote Log'!$C:$C,"&lt;="&amp;DATE(2023,5,31),'Quote Log'!$B:$B,"=LOST")</f>
        <v>0</v>
      </c>
      <c r="L30">
        <f>COUNTIFS('Quote Log'!$B:$B,"&lt;&gt;VOID",'Quote Log'!$B:$B,"&lt;&gt;Requoted",'Quote Log'!$C:$C,"&gt;="&amp;DATE(2023,5,1),'Quote Log'!$C:$C,"&lt;="&amp;DATE(2023,5,31),'Quote Log'!$V:$V,"=new")</f>
        <v>0</v>
      </c>
      <c r="M30" s="349" t="e">
        <f t="shared" si="6"/>
        <v>#DIV/0!</v>
      </c>
      <c r="N30" s="339" t="e">
        <f t="shared" si="38"/>
        <v>#DIV/0!</v>
      </c>
      <c r="O30" s="358">
        <f>SUMIFS('Quote Log'!$AB:$AB,'Quote Log'!$C:$C,"&gt;="&amp;DATE(2023,5,1),'Quote Log'!$C:$C,"&lt;="&amp;DATE(2023,5,31),'Quote Log'!$B:$B,"=Purchased",'Quote Log'!$AB:$AB,"&lt;&gt;#VALUE!")</f>
        <v>0</v>
      </c>
      <c r="P30" s="358">
        <f t="shared" si="39"/>
        <v>0</v>
      </c>
      <c r="Q30" s="349" t="e">
        <f t="shared" si="24"/>
        <v>#DIV/0!</v>
      </c>
      <c r="R30" s="349" t="e">
        <f t="shared" si="40"/>
        <v>#DIV/0!</v>
      </c>
      <c r="S30" s="358">
        <f>SUMIFS('Quote Log'!$AB:$AB,'Quote Log'!$C:$C,"&gt;="&amp;DATE(2023,5,1),'Quote Log'!$C:$C,"&lt;="&amp;DATE(2023,5,31),'Quote Log'!$B:$B,"=Purchased",'Quote Log'!$AB:$AB,"&lt;&gt;#VALUE!")+S29</f>
        <v>0</v>
      </c>
      <c r="T30" s="358">
        <f t="shared" si="41"/>
        <v>0</v>
      </c>
      <c r="U30" s="349" t="e">
        <f t="shared" si="27"/>
        <v>#DIV/0!</v>
      </c>
      <c r="V30" s="349" t="e">
        <f t="shared" si="42"/>
        <v>#DIV/0!</v>
      </c>
      <c r="W30">
        <f>COUNTIFS('Quote Log'!$B:$B,"&lt;&gt;VOID",'Quote Log'!$B:$B,"&lt;&gt;Requoted",'Quote Log'!$C:$C,"&gt;="&amp;DATE(2023,5,1),'Quote Log'!$C:$C,"&lt;="&amp;DATE(2023,5,31),'Quote Log'!$AK:$AK,"=Web Unknown")</f>
        <v>0</v>
      </c>
      <c r="X30">
        <f>COUNTIFS('Quote Log'!$B:$B,"&lt;&gt;VOID",'Quote Log'!$B:$B,"&lt;&gt;Requoted",'Quote Log'!$C:$C,"&gt;="&amp;DATE(2023,5,1),'Quote Log'!$C:$C,"&lt;="&amp;DATE(2023,5,31),'Quote Log'!$AK:$AK,"=Google")</f>
        <v>0</v>
      </c>
      <c r="Y30">
        <f>COUNTIFS('Quote Log'!$B:$B,"&lt;&gt;VOID",'Quote Log'!$B:$B,"&lt;&gt;Requoted",'Quote Log'!$C:$C,"&gt;="&amp;DATE(2023,5,1),'Quote Log'!$C:$C,"&lt;="&amp;DATE(2023,5,31),'Quote Log'!$AK:$AK,"=Linked-In")</f>
        <v>0</v>
      </c>
      <c r="Z30">
        <f>COUNTIFS('Quote Log'!$B:$B,"&lt;&gt;VOID",'Quote Log'!$B:$B,"&lt;&gt;Requoted",'Quote Log'!$C:$C,"&gt;="&amp;DATE(2023,5,1),'Quote Log'!$C:$C,"&lt;="&amp;DATE(2023,5,31),'Quote Log'!$AK:$AK,"=Thomasnet")</f>
        <v>0</v>
      </c>
      <c r="AA30">
        <f t="shared" si="12"/>
        <v>0</v>
      </c>
      <c r="AB30">
        <f>COUNTIFS('Quote Log'!$B:$B,"&lt;&gt;VOID",'Quote Log'!$B:$B,"&lt;&gt;Requoted",'Quote Log'!$C:$C,"&gt;="&amp;DATE(2023,5,1),'Quote Log'!$C:$C,"&lt;="&amp;DATE(2023,5,31),'Quote Log'!$AK:$AK,"=Phone Call")</f>
        <v>0</v>
      </c>
      <c r="AC30">
        <f>COUNTIFS('Quote Log'!$B:$B,"&lt;&gt;VOID",'Quote Log'!$B:$B,"&lt;&gt;Requoted",'Quote Log'!$C:$C,"&gt;="&amp;DATE(2023,5,1),'Quote Log'!$C:$C,"&lt;="&amp;DATE(2023,5,31),'Quote Log'!$AK:$AK,"=Trade Show")</f>
        <v>0</v>
      </c>
      <c r="AD30">
        <f>COUNTIFS('Quote Log'!$B:$B,"&lt;&gt;VOID",'Quote Log'!$B:$B,"&lt;&gt;Requoted",'Quote Log'!$C:$C,"&gt;="&amp;DATE(2023,5,1),'Quote Log'!$C:$C,"&lt;="&amp;DATE(2023,5,31),'Quote Log'!$AK:$AK,"=Referral")</f>
        <v>0</v>
      </c>
      <c r="AE30" s="350">
        <f t="shared" si="43"/>
        <v>0</v>
      </c>
      <c r="AF30">
        <f>COUNTIFS('Quote Log'!$B:$B,"&lt;&gt;VOID",'Quote Log'!$B:$B,"&lt;&gt;",'Quote Log'!$B:$B,"&lt;&gt;Cathy",'Quote Log'!$B:$B,"&lt;&gt;Larry",'Quote Log'!$B:$B,"&lt;&gt;LOST",'Quote Log'!$B:$B,"&lt;&gt;Purchased",'Quote Log'!$B:$B,"&lt;&gt;Max",'Quote Log'!$B:$B,"&lt;&gt;Quote Sent",'Quote Log'!$B:$B,"&lt;&gt;ISSUE",'Quote Log'!$B:$B,"&lt;&gt;Requoted",'Quote Log'!$C:$C,"&gt;="&amp;DATE(2023,5,1),'Quote Log'!$C:$C,"&lt;="&amp;DATE(2023,5,31))</f>
        <v>0</v>
      </c>
      <c r="AG30" s="350">
        <f t="shared" si="44"/>
        <v>0</v>
      </c>
      <c r="AH30" s="358">
        <f>SUMIFS('Quote Log'!$AB:$AB,'Quote Log'!$B:$B,"=Quote Sent",'Quote Log'!$C:$C,"&gt;="&amp;DATE(2023,5,1),'Quote Log'!$C:$C,"&lt;="&amp;DATE(2023,5,31),'Quote Log'!$AB:$AB,"&lt;&gt;#VALUE!")</f>
        <v>0</v>
      </c>
      <c r="AI30" s="358">
        <f t="shared" si="45"/>
        <v>0</v>
      </c>
      <c r="AJ30" s="358">
        <f>SUMIFS('Quote Log'!$AB:$AB,'Quote Log'!$B:$B,"=LOST",'Quote Log'!$C:$C,"&gt;="&amp;DATE(2023,5,1),'Quote Log'!$C:$C,"&lt;="&amp;DATE(2023,5,31),'Quote Log'!$AB:$AB,"&lt;&gt;#VALUE!")</f>
        <v>0</v>
      </c>
      <c r="AK30" s="358">
        <f t="shared" si="46"/>
        <v>0</v>
      </c>
      <c r="AM30" s="339"/>
    </row>
    <row r="31" spans="1:39" x14ac:dyDescent="0.25">
      <c r="A31" s="338">
        <v>45078</v>
      </c>
      <c r="B31">
        <f>COUNTIFS('Quote Log'!$B:$B,"&lt;&gt;VOID",'Quote Log'!$B:$B,"&lt;&gt;Requoted",'Quote Log'!$C:$C,"&gt;="&amp;DATE(2023,6,1),'Quote Log'!$C:$C,"&lt;="&amp;DATE(2023,6,30))</f>
        <v>0</v>
      </c>
      <c r="C31">
        <f t="shared" si="33"/>
        <v>0</v>
      </c>
      <c r="D31">
        <f>COUNTIFS('Quote Log'!$B:$B,"&lt;&gt;VOID",'Quote Log'!$B:$B,"&lt;&gt;Requoted",'Quote Log'!$H:$H,"&gt;="&amp;DATE(2023,6,1),'Quote Log'!$H:$H,"&lt;="&amp;DATE(2023,6,30))</f>
        <v>0</v>
      </c>
      <c r="E31">
        <f t="shared" si="34"/>
        <v>0</v>
      </c>
      <c r="F31">
        <f t="shared" si="35"/>
        <v>0</v>
      </c>
      <c r="G31">
        <f>COUNTIFS('Quote Log'!$C:$C,"&gt;="&amp;DATE(2023,6,1),'Quote Log'!$C:$C,"&lt;="&amp;DATE(2023,6,30),'Quote Log'!$B:$B,"=Purchased")</f>
        <v>0</v>
      </c>
      <c r="H31" s="350">
        <f t="shared" si="36"/>
        <v>0</v>
      </c>
      <c r="I31" s="349" t="e">
        <f t="shared" si="4"/>
        <v>#DIV/0!</v>
      </c>
      <c r="J31" s="349" t="e">
        <f t="shared" si="37"/>
        <v>#DIV/0!</v>
      </c>
      <c r="K31">
        <f>COUNTIFS('Quote Log'!$C:$C,"&gt;="&amp;DATE(2023,6,1),'Quote Log'!$C:$C,"&lt;="&amp;DATE(2023,6,30),'Quote Log'!$B:$B,"=LOST")</f>
        <v>0</v>
      </c>
      <c r="L31">
        <f>COUNTIFS('Quote Log'!$B:$B,"&lt;&gt;VOID",'Quote Log'!$B:$B,"&lt;&gt;Requoted",'Quote Log'!$C:$C,"&gt;="&amp;DATE(2023,6,1),'Quote Log'!$C:$C,"&lt;="&amp;DATE(2023,6,30),'Quote Log'!$V:$V,"=new")</f>
        <v>0</v>
      </c>
      <c r="M31" s="349" t="e">
        <f t="shared" si="6"/>
        <v>#DIV/0!</v>
      </c>
      <c r="N31" s="339" t="e">
        <f t="shared" si="38"/>
        <v>#DIV/0!</v>
      </c>
      <c r="O31" s="358">
        <f>SUMIFS('Quote Log'!$AB:$AB,'Quote Log'!$C:$C,"&gt;="&amp;DATE(2023,6,1),'Quote Log'!$C:$C,"&lt;="&amp;DATE(2023,6,30),'Quote Log'!$B:$B,"=Purchased",'Quote Log'!$AB:$AB,"&lt;&gt;#VALUE!")</f>
        <v>0</v>
      </c>
      <c r="P31" s="358">
        <f t="shared" si="39"/>
        <v>0</v>
      </c>
      <c r="Q31" s="349" t="e">
        <f t="shared" si="24"/>
        <v>#DIV/0!</v>
      </c>
      <c r="R31" s="349" t="e">
        <f t="shared" si="40"/>
        <v>#DIV/0!</v>
      </c>
      <c r="S31" s="358">
        <f>SUMIFS('Quote Log'!$AB:$AB,'Quote Log'!$C:$C,"&gt;="&amp;DATE(2023,6,1),'Quote Log'!$C:$C,"&lt;="&amp;DATE(2023,6,30),'Quote Log'!$B:$B,"=Purchased",'Quote Log'!$AB:$AB,"&lt;&gt;#VALUE!")+S30</f>
        <v>0</v>
      </c>
      <c r="T31" s="358">
        <f t="shared" si="41"/>
        <v>0</v>
      </c>
      <c r="U31" s="349" t="e">
        <f t="shared" si="27"/>
        <v>#DIV/0!</v>
      </c>
      <c r="V31" s="349" t="e">
        <f t="shared" si="42"/>
        <v>#DIV/0!</v>
      </c>
      <c r="W31">
        <f>COUNTIFS('Quote Log'!$B:$B,"&lt;&gt;VOID",'Quote Log'!$B:$B,"&lt;&gt;Requoted",'Quote Log'!$C:$C,"&gt;="&amp;DATE(2023,6,1),'Quote Log'!$C:$C,"&lt;="&amp;DATE(2023,6,30),'Quote Log'!$AK:$AK,"=Web Unknown")</f>
        <v>0</v>
      </c>
      <c r="X31">
        <f>COUNTIFS('Quote Log'!$B:$B,"&lt;&gt;VOID",'Quote Log'!$B:$B,"&lt;&gt;Requoted",'Quote Log'!$C:$C,"&gt;="&amp;DATE(2023,6,1),'Quote Log'!$C:$C,"&lt;="&amp;DATE(2023,6,30),'Quote Log'!$AK:$AK,"=Google")</f>
        <v>0</v>
      </c>
      <c r="Y31">
        <f>COUNTIFS('Quote Log'!$B:$B,"&lt;&gt;VOID",'Quote Log'!$B:$B,"&lt;&gt;Requoted",'Quote Log'!$C:$C,"&gt;="&amp;DATE(2023,6,1),'Quote Log'!$C:$C,"&lt;="&amp;DATE(2023,6,30),'Quote Log'!$AK:$AK,"=Linked-In")</f>
        <v>0</v>
      </c>
      <c r="Z31">
        <f>COUNTIFS('Quote Log'!$B:$B,"&lt;&gt;VOID",'Quote Log'!$B:$B,"&lt;&gt;Requoted",'Quote Log'!$C:$C,"&gt;="&amp;DATE(2023,6,1),'Quote Log'!$C:$C,"&lt;="&amp;DATE(2023,6,30),'Quote Log'!$AK:$AK,"=Thomasnet")</f>
        <v>0</v>
      </c>
      <c r="AA31">
        <f t="shared" si="12"/>
        <v>0</v>
      </c>
      <c r="AB31">
        <f>COUNTIFS('Quote Log'!$B:$B,"&lt;&gt;VOID",'Quote Log'!$B:$B,"&lt;&gt;Requoted",'Quote Log'!$C:$C,"&gt;="&amp;DATE(2023,6,1),'Quote Log'!$C:$C,"&lt;="&amp;DATE(2023,6,30),'Quote Log'!$AK:$AK,"=Phone Call")</f>
        <v>0</v>
      </c>
      <c r="AC31">
        <f>COUNTIFS('Quote Log'!$B:$B,"&lt;&gt;VOID",'Quote Log'!$B:$B,"&lt;&gt;Requoted",'Quote Log'!$C:$C,"&gt;="&amp;DATE(2023,6,1),'Quote Log'!$C:$C,"&lt;="&amp;DATE(2023,6,30),'Quote Log'!$AK:$AK,"=Trade Show")</f>
        <v>0</v>
      </c>
      <c r="AD31">
        <f>COUNTIFS('Quote Log'!$B:$B,"&lt;&gt;VOID",'Quote Log'!$B:$B,"&lt;&gt;Requoted",'Quote Log'!$C:$C,"&gt;="&amp;DATE(2023,6,1),'Quote Log'!$C:$C,"&lt;="&amp;DATE(2023,6,30),'Quote Log'!$AK:$AK,"=Referral")</f>
        <v>0</v>
      </c>
      <c r="AE31" s="350">
        <f t="shared" si="43"/>
        <v>0</v>
      </c>
      <c r="AF31">
        <f>COUNTIFS('Quote Log'!$B:$B,"&lt;&gt;VOID",'Quote Log'!$B:$B,"&lt;&gt;",'Quote Log'!$B:$B,"&lt;&gt;Cathy",'Quote Log'!$B:$B,"&lt;&gt;Larry",'Quote Log'!$B:$B,"&lt;&gt;LOST",'Quote Log'!$B:$B,"&lt;&gt;Purchased",'Quote Log'!$B:$B,"&lt;&gt;Max",'Quote Log'!$B:$B,"&lt;&gt;Quote Sent",'Quote Log'!$B:$B,"&lt;&gt;ISSUE",'Quote Log'!$B:$B,"&lt;&gt;Requoted",'Quote Log'!$C:$C,"&gt;="&amp;DATE(2023,6,1),'Quote Log'!$C:$C,"&lt;="&amp;DATE(2023,6,30))</f>
        <v>0</v>
      </c>
      <c r="AG31" s="350">
        <f t="shared" si="44"/>
        <v>0</v>
      </c>
      <c r="AH31" s="358">
        <f>SUMIFS('Quote Log'!$AB:$AB,'Quote Log'!$B:$B,"=Quote Sent",'Quote Log'!$C:$C,"&gt;="&amp;DATE(2023,6,1),'Quote Log'!$C:$C,"&lt;="&amp;DATE(2023,6,30),'Quote Log'!$AB:$AB,"&lt;&gt;#VALUE!")</f>
        <v>0</v>
      </c>
      <c r="AI31" s="358">
        <f t="shared" si="45"/>
        <v>0</v>
      </c>
      <c r="AJ31" s="358">
        <f>SUMIFS('Quote Log'!$AB:$AB,'Quote Log'!$B:$B,"=LOST",'Quote Log'!$C:$C,"&gt;="&amp;DATE(2023,6,1),'Quote Log'!$C:$C,"&lt;="&amp;DATE(2023,6,30),'Quote Log'!$AB:$AB,"&lt;&gt;#VALUE!")</f>
        <v>0</v>
      </c>
      <c r="AK31" s="358">
        <f t="shared" si="46"/>
        <v>0</v>
      </c>
      <c r="AM31" s="339"/>
    </row>
    <row r="32" spans="1:39" x14ac:dyDescent="0.25">
      <c r="A32" s="338">
        <v>45108</v>
      </c>
      <c r="B32">
        <f>COUNTIFS('Quote Log'!$B:$B,"&lt;&gt;VOID",'Quote Log'!$B:$B,"&lt;&gt;Requoted",'Quote Log'!$C:$C,"&gt;="&amp;DATE(2023,7,1),'Quote Log'!$C:$C,"&lt;="&amp;DATE(2023,7,31))</f>
        <v>0</v>
      </c>
      <c r="C32">
        <f t="shared" si="33"/>
        <v>0</v>
      </c>
      <c r="D32">
        <f>COUNTIFS('Quote Log'!$B:$B,"&lt;&gt;VOID",'Quote Log'!$B:$B,"&lt;&gt;Requoted",'Quote Log'!$H:$H,"&gt;="&amp;DATE(2023,7,1),'Quote Log'!$H:$H,"&lt;="&amp;DATE(2023,7,31))</f>
        <v>0</v>
      </c>
      <c r="E32">
        <f t="shared" si="34"/>
        <v>0</v>
      </c>
      <c r="F32">
        <f t="shared" si="35"/>
        <v>0</v>
      </c>
      <c r="G32">
        <f>COUNTIFS('Quote Log'!$C:$C,"&gt;="&amp;DATE(2023,7,1),'Quote Log'!$C:$C,"&lt;="&amp;DATE(2023,7,31),'Quote Log'!$B:$B,"=Purchased")</f>
        <v>0</v>
      </c>
      <c r="H32" s="350">
        <f t="shared" si="36"/>
        <v>0</v>
      </c>
      <c r="I32" s="349" t="e">
        <f t="shared" si="4"/>
        <v>#DIV/0!</v>
      </c>
      <c r="J32" s="349" t="e">
        <f t="shared" si="37"/>
        <v>#DIV/0!</v>
      </c>
      <c r="K32">
        <f>COUNTIFS('Quote Log'!$C:$C,"&gt;="&amp;DATE(2023,7,1),'Quote Log'!$C:$C,"&lt;="&amp;DATE(2023,7,31),'Quote Log'!$B:$B,"=LOST")</f>
        <v>0</v>
      </c>
      <c r="L32">
        <f>COUNTIFS('Quote Log'!$B:$B,"&lt;&gt;VOID",'Quote Log'!$B:$B,"&lt;&gt;Requoted",'Quote Log'!$C:$C,"&gt;="&amp;DATE(2023,7,1),'Quote Log'!$C:$C,"&lt;="&amp;DATE(2023,7,31),'Quote Log'!$V:$V,"=new")</f>
        <v>0</v>
      </c>
      <c r="M32" s="349" t="e">
        <f t="shared" si="6"/>
        <v>#DIV/0!</v>
      </c>
      <c r="N32" s="339" t="e">
        <f t="shared" si="38"/>
        <v>#DIV/0!</v>
      </c>
      <c r="O32" s="358">
        <f>SUMIFS('Quote Log'!$AB:$AB,'Quote Log'!$C:$C,"&gt;="&amp;DATE(2023,7,1),'Quote Log'!$C:$C,"&lt;="&amp;DATE(2023,7,31),'Quote Log'!$B:$B,"=Purchased",'Quote Log'!$AB:$AB,"&lt;&gt;#VALUE!")</f>
        <v>0</v>
      </c>
      <c r="P32" s="358">
        <f t="shared" si="39"/>
        <v>0</v>
      </c>
      <c r="Q32" s="349" t="e">
        <f t="shared" si="24"/>
        <v>#DIV/0!</v>
      </c>
      <c r="R32" s="349" t="e">
        <f t="shared" si="40"/>
        <v>#DIV/0!</v>
      </c>
      <c r="S32" s="358">
        <f>SUMIFS('Quote Log'!$AB:$AB,'Quote Log'!$C:$C,"&gt;="&amp;DATE(2023,7,1),'Quote Log'!$C:$C,"&lt;="&amp;DATE(2023,7,31),'Quote Log'!$B:$B,"=Purchased",'Quote Log'!$AB:$AB,"&lt;&gt;#VALUE!")+S31</f>
        <v>0</v>
      </c>
      <c r="T32" s="358">
        <f t="shared" si="41"/>
        <v>0</v>
      </c>
      <c r="U32" s="349" t="e">
        <f t="shared" si="27"/>
        <v>#DIV/0!</v>
      </c>
      <c r="V32" s="349" t="e">
        <f t="shared" si="42"/>
        <v>#DIV/0!</v>
      </c>
      <c r="W32">
        <f>COUNTIFS('Quote Log'!$B:$B,"&lt;&gt;VOID",'Quote Log'!$B:$B,"&lt;&gt;Requoted",'Quote Log'!$C:$C,"&gt;="&amp;DATE(2023,7,1),'Quote Log'!$C:$C,"&lt;="&amp;DATE(2023,7,31),'Quote Log'!$AK:$AK,"=Web Unknown")</f>
        <v>0</v>
      </c>
      <c r="X32">
        <f>COUNTIFS('Quote Log'!$B:$B,"&lt;&gt;VOID",'Quote Log'!$B:$B,"&lt;&gt;Requoted",'Quote Log'!$C:$C,"&gt;="&amp;DATE(2023,7,1),'Quote Log'!$C:$C,"&lt;="&amp;DATE(2023,7,31),'Quote Log'!$AK:$AK,"=Google")</f>
        <v>0</v>
      </c>
      <c r="Y32">
        <f>COUNTIFS('Quote Log'!$B:$B,"&lt;&gt;VOID",'Quote Log'!$B:$B,"&lt;&gt;Requoted",'Quote Log'!$C:$C,"&gt;="&amp;DATE(2023,7,1),'Quote Log'!$C:$C,"&lt;="&amp;DATE(2023,7,31),'Quote Log'!$AK:$AK,"=Linked-In")</f>
        <v>0</v>
      </c>
      <c r="Z32">
        <f>COUNTIFS('Quote Log'!$B:$B,"&lt;&gt;VOID",'Quote Log'!$B:$B,"&lt;&gt;Requoted",'Quote Log'!$C:$C,"&gt;="&amp;DATE(2023,7,1),'Quote Log'!$C:$C,"&lt;="&amp;DATE(2023,7,31),'Quote Log'!$AK:$AK,"=Thomasnet")</f>
        <v>0</v>
      </c>
      <c r="AA32">
        <f t="shared" si="12"/>
        <v>0</v>
      </c>
      <c r="AB32">
        <f>COUNTIFS('Quote Log'!$B:$B,"&lt;&gt;VOID",'Quote Log'!$B:$B,"&lt;&gt;Requoted",'Quote Log'!$C:$C,"&gt;="&amp;DATE(2023,7,1),'Quote Log'!$C:$C,"&lt;="&amp;DATE(2023,7,31),'Quote Log'!$AK:$AK,"=Phone Call")</f>
        <v>0</v>
      </c>
      <c r="AC32">
        <f>COUNTIFS('Quote Log'!$B:$B,"&lt;&gt;VOID",'Quote Log'!$B:$B,"&lt;&gt;Requoted",'Quote Log'!$C:$C,"&gt;="&amp;DATE(2023,7,1),'Quote Log'!$C:$C,"&lt;="&amp;DATE(2023,7,31),'Quote Log'!$AK:$AK,"=Trade Show")</f>
        <v>0</v>
      </c>
      <c r="AD32">
        <f>COUNTIFS('Quote Log'!$B:$B,"&lt;&gt;VOID",'Quote Log'!$B:$B,"&lt;&gt;Requoted",'Quote Log'!$C:$C,"&gt;="&amp;DATE(2023,7,1),'Quote Log'!$C:$C,"&lt;="&amp;DATE(2023,7,31),'Quote Log'!$AK:$AK,"=Referral")</f>
        <v>0</v>
      </c>
      <c r="AE32" s="350">
        <f t="shared" si="43"/>
        <v>0</v>
      </c>
      <c r="AF32">
        <f>COUNTIFS('Quote Log'!$B:$B,"&lt;&gt;VOID",'Quote Log'!$B:$B,"&lt;&gt;",'Quote Log'!$B:$B,"&lt;&gt;Cathy",'Quote Log'!$B:$B,"&lt;&gt;Larry",'Quote Log'!$B:$B,"&lt;&gt;LOST",'Quote Log'!$B:$B,"&lt;&gt;Purchased",'Quote Log'!$B:$B,"&lt;&gt;Max",'Quote Log'!$B:$B,"&lt;&gt;Quote Sent",'Quote Log'!$B:$B,"&lt;&gt;ISSUE",'Quote Log'!$B:$B,"&lt;&gt;Requoted",'Quote Log'!$C:$C,"&gt;="&amp;DATE(2023,7,1),'Quote Log'!$C:$C,"&lt;="&amp;DATE(2023,7,31))</f>
        <v>0</v>
      </c>
      <c r="AG32" s="350">
        <f t="shared" si="44"/>
        <v>0</v>
      </c>
      <c r="AH32" s="358">
        <f>SUMIFS('Quote Log'!$AB:$AB,'Quote Log'!$B:$B,"=Quote Sent",'Quote Log'!$C:$C,"&gt;="&amp;DATE(2023,7,1),'Quote Log'!$C:$C,"&lt;="&amp;DATE(2023,7,31),'Quote Log'!$AB:$AB,"&lt;&gt;#VALUE!")</f>
        <v>0</v>
      </c>
      <c r="AI32" s="358">
        <f t="shared" si="45"/>
        <v>0</v>
      </c>
      <c r="AJ32" s="358">
        <f>SUMIFS('Quote Log'!$AB:$AB,'Quote Log'!$B:$B,"=LOST",'Quote Log'!$C:$C,"&gt;="&amp;DATE(2023,7,1),'Quote Log'!$C:$C,"&lt;="&amp;DATE(2023,7,31),'Quote Log'!$AB:$AB,"&lt;&gt;#VALUE!")</f>
        <v>0</v>
      </c>
      <c r="AK32" s="358">
        <f t="shared" si="46"/>
        <v>0</v>
      </c>
      <c r="AM32" s="339"/>
    </row>
    <row r="33" spans="1:39" x14ac:dyDescent="0.25">
      <c r="A33" s="338">
        <v>45139</v>
      </c>
      <c r="B33">
        <f>COUNTIFS('Quote Log'!$B:$B,"&lt;&gt;VOID",'Quote Log'!$B:$B,"&lt;&gt;Requoted",'Quote Log'!$C:$C,"&gt;="&amp;DATE(2023,8,1),'Quote Log'!$C:$C,"&lt;="&amp;DATE(2023,8,31))</f>
        <v>0</v>
      </c>
      <c r="C33">
        <f t="shared" si="33"/>
        <v>0</v>
      </c>
      <c r="D33">
        <f>COUNTIFS('Quote Log'!$B:$B,"&lt;&gt;VOID",'Quote Log'!$B:$B,"&lt;&gt;Requoted",'Quote Log'!$H:$H,"&gt;="&amp;DATE(2023,8,1),'Quote Log'!$H:$H,"&lt;="&amp;DATE(2023,8,31))</f>
        <v>0</v>
      </c>
      <c r="E33">
        <f t="shared" si="34"/>
        <v>0</v>
      </c>
      <c r="F33">
        <f t="shared" si="35"/>
        <v>0</v>
      </c>
      <c r="G33">
        <f>COUNTIFS('Quote Log'!$C:$C,"&gt;="&amp;DATE(2023,8,1),'Quote Log'!$C:$C,"&lt;="&amp;DATE(2023,8,31),'Quote Log'!$B:$B,"=Purchased")</f>
        <v>0</v>
      </c>
      <c r="H33" s="350">
        <f t="shared" si="36"/>
        <v>0</v>
      </c>
      <c r="I33" s="349" t="e">
        <f t="shared" si="4"/>
        <v>#DIV/0!</v>
      </c>
      <c r="J33" s="349" t="e">
        <f t="shared" si="37"/>
        <v>#DIV/0!</v>
      </c>
      <c r="K33">
        <f>COUNTIFS('Quote Log'!$C:$C,"&gt;="&amp;DATE(2023,8,1),'Quote Log'!$C:$C,"&lt;="&amp;DATE(2023,8,31),'Quote Log'!$B:$B,"=LOST")</f>
        <v>0</v>
      </c>
      <c r="L33">
        <f>COUNTIFS('Quote Log'!$B:$B,"&lt;&gt;VOID",'Quote Log'!$B:$B,"&lt;&gt;Requoted",'Quote Log'!$C:$C,"&gt;="&amp;DATE(2023,8,1),'Quote Log'!$C:$C,"&lt;="&amp;DATE(2023,8,31),'Quote Log'!$V:$V,"=new")</f>
        <v>0</v>
      </c>
      <c r="M33" s="349" t="e">
        <f t="shared" si="6"/>
        <v>#DIV/0!</v>
      </c>
      <c r="N33" s="339" t="e">
        <f t="shared" si="38"/>
        <v>#DIV/0!</v>
      </c>
      <c r="O33" s="358">
        <f>SUMIFS('Quote Log'!$AB:$AB,'Quote Log'!$C:$C,"&gt;="&amp;DATE(2023,8,1),'Quote Log'!$C:$C,"&lt;="&amp;DATE(2023,8,31),'Quote Log'!$B:$B,"=Purchased",'Quote Log'!$AB:$AB,"&lt;&gt;#VALUE!")</f>
        <v>0</v>
      </c>
      <c r="P33" s="358">
        <f t="shared" si="39"/>
        <v>0</v>
      </c>
      <c r="Q33" s="349" t="e">
        <f t="shared" si="24"/>
        <v>#DIV/0!</v>
      </c>
      <c r="R33" s="349" t="e">
        <f t="shared" si="40"/>
        <v>#DIV/0!</v>
      </c>
      <c r="S33" s="358">
        <f>SUMIFS('Quote Log'!$AB:$AB,'Quote Log'!$C:$C,"&gt;="&amp;DATE(2023,8,1),'Quote Log'!$C:$C,"&lt;="&amp;DATE(2023,8,31),'Quote Log'!$B:$B,"=Purchased",'Quote Log'!$AB:$AB,"&lt;&gt;#VALUE!")+S32</f>
        <v>0</v>
      </c>
      <c r="T33" s="358">
        <f t="shared" si="41"/>
        <v>0</v>
      </c>
      <c r="U33" s="349" t="e">
        <f t="shared" si="27"/>
        <v>#DIV/0!</v>
      </c>
      <c r="V33" s="349" t="e">
        <f t="shared" si="42"/>
        <v>#DIV/0!</v>
      </c>
      <c r="W33">
        <f>COUNTIFS('Quote Log'!$B:$B,"&lt;&gt;VOID",'Quote Log'!$B:$B,"&lt;&gt;Requoted",'Quote Log'!$C:$C,"&gt;="&amp;DATE(2023,8,1),'Quote Log'!$C:$C,"&lt;="&amp;DATE(2023,8,31),'Quote Log'!$AK:$AK,"=Web Unknown")</f>
        <v>0</v>
      </c>
      <c r="X33">
        <f>COUNTIFS('Quote Log'!$B:$B,"&lt;&gt;VOID",'Quote Log'!$B:$B,"&lt;&gt;Requoted",'Quote Log'!$C:$C,"&gt;="&amp;DATE(2023,8,1),'Quote Log'!$C:$C,"&lt;="&amp;DATE(2023,8,31),'Quote Log'!$AK:$AK,"=Google")</f>
        <v>0</v>
      </c>
      <c r="Y33">
        <f>COUNTIFS('Quote Log'!$B:$B,"&lt;&gt;VOID",'Quote Log'!$B:$B,"&lt;&gt;Requoted",'Quote Log'!$C:$C,"&gt;="&amp;DATE(2023,8,1),'Quote Log'!$C:$C,"&lt;="&amp;DATE(2023,8,31),'Quote Log'!$AK:$AK,"=Linked-In")</f>
        <v>0</v>
      </c>
      <c r="Z33">
        <f>COUNTIFS('Quote Log'!$B:$B,"&lt;&gt;VOID",'Quote Log'!$B:$B,"&lt;&gt;Requoted",'Quote Log'!$C:$C,"&gt;="&amp;DATE(2023,8,1),'Quote Log'!$C:$C,"&lt;="&amp;DATE(2023,8,31),'Quote Log'!$AK:$AK,"=Thomasnet")</f>
        <v>0</v>
      </c>
      <c r="AA33">
        <f t="shared" si="12"/>
        <v>0</v>
      </c>
      <c r="AB33">
        <f>COUNTIFS('Quote Log'!$B:$B,"&lt;&gt;VOID",'Quote Log'!$B:$B,"&lt;&gt;Requoted",'Quote Log'!$C:$C,"&gt;="&amp;DATE(2023,8,1),'Quote Log'!$C:$C,"&lt;="&amp;DATE(2023,8,31),'Quote Log'!$AK:$AK,"=Phone Call")</f>
        <v>0</v>
      </c>
      <c r="AC33">
        <f>COUNTIFS('Quote Log'!$B:$B,"&lt;&gt;VOID",'Quote Log'!$B:$B,"&lt;&gt;Requoted",'Quote Log'!$C:$C,"&gt;="&amp;DATE(2023,8,1),'Quote Log'!$C:$C,"&lt;="&amp;DATE(2023,8,31),'Quote Log'!$AK:$AK,"=Trade Show")</f>
        <v>0</v>
      </c>
      <c r="AD33">
        <f>COUNTIFS('Quote Log'!$B:$B,"&lt;&gt;VOID",'Quote Log'!$B:$B,"&lt;&gt;Requoted",'Quote Log'!$C:$C,"&gt;="&amp;DATE(2023,8,1),'Quote Log'!$C:$C,"&lt;="&amp;DATE(2023,8,31),'Quote Log'!$AK:$AK,"=Referral")</f>
        <v>0</v>
      </c>
      <c r="AE33" s="350">
        <f t="shared" si="43"/>
        <v>0</v>
      </c>
      <c r="AF33">
        <f>COUNTIFS('Quote Log'!$B:$B,"&lt;&gt;VOID",'Quote Log'!$B:$B,"&lt;&gt;",'Quote Log'!$B:$B,"&lt;&gt;Cathy",'Quote Log'!$B:$B,"&lt;&gt;Larry",'Quote Log'!$B:$B,"&lt;&gt;LOST",'Quote Log'!$B:$B,"&lt;&gt;Purchased",'Quote Log'!$B:$B,"&lt;&gt;Max",'Quote Log'!$B:$B,"&lt;&gt;Quote Sent",'Quote Log'!$B:$B,"&lt;&gt;ISSUE",'Quote Log'!$B:$B,"&lt;&gt;Requoted",'Quote Log'!$C:$C,"&gt;="&amp;DATE(2023,8,1),'Quote Log'!$C:$C,"&lt;="&amp;DATE(2023,8,31))</f>
        <v>0</v>
      </c>
      <c r="AG33" s="350">
        <f t="shared" si="44"/>
        <v>0</v>
      </c>
      <c r="AH33" s="358">
        <f>SUMIFS('Quote Log'!$AB:$AB,'Quote Log'!$B:$B,"=Quote Sent",'Quote Log'!$C:$C,"&gt;="&amp;DATE(2023,8,1),'Quote Log'!$C:$C,"&lt;="&amp;DATE(2023,8,31),'Quote Log'!$AB:$AB,"&lt;&gt;#VALUE!")</f>
        <v>0</v>
      </c>
      <c r="AI33" s="358">
        <f t="shared" si="45"/>
        <v>0</v>
      </c>
      <c r="AJ33" s="358">
        <f>SUMIFS('Quote Log'!$AB:$AB,'Quote Log'!$B:$B,"=LOST",'Quote Log'!$C:$C,"&gt;="&amp;DATE(2023,8,1),'Quote Log'!$C:$C,"&lt;="&amp;DATE(2023,8,31),'Quote Log'!$AB:$AB,"&lt;&gt;#VALUE!")</f>
        <v>0</v>
      </c>
      <c r="AK33" s="358">
        <f t="shared" si="46"/>
        <v>0</v>
      </c>
      <c r="AM33" s="339"/>
    </row>
    <row r="34" spans="1:39" x14ac:dyDescent="0.25">
      <c r="A34" s="338">
        <v>45170</v>
      </c>
      <c r="B34">
        <f>COUNTIFS('Quote Log'!$B:$B,"&lt;&gt;VOID",'Quote Log'!$B:$B,"&lt;&gt;Requoted",'Quote Log'!$C:$C,"&gt;="&amp;DATE(2023,9,1),'Quote Log'!$C:$C,"&lt;="&amp;DATE(2023,9,30))</f>
        <v>0</v>
      </c>
      <c r="C34">
        <f t="shared" si="33"/>
        <v>0</v>
      </c>
      <c r="D34">
        <f>COUNTIFS('Quote Log'!$B:$B,"&lt;&gt;VOID",'Quote Log'!$B:$B,"&lt;&gt;Requoted",'Quote Log'!$H:$H,"&gt;="&amp;DATE(2023,9,1),'Quote Log'!$H:$H,"&lt;="&amp;DATE(2023,9,30))</f>
        <v>0</v>
      </c>
      <c r="E34">
        <f t="shared" si="34"/>
        <v>0</v>
      </c>
      <c r="F34">
        <f t="shared" si="35"/>
        <v>0</v>
      </c>
      <c r="G34">
        <f>COUNTIFS('Quote Log'!$C:$C,"&gt;="&amp;DATE(2023,9,1),'Quote Log'!$C:$C,"&lt;="&amp;DATE(2023,9,30),'Quote Log'!$B:$B,"=Purchased")</f>
        <v>0</v>
      </c>
      <c r="H34" s="350">
        <f t="shared" si="36"/>
        <v>0</v>
      </c>
      <c r="I34" s="349" t="e">
        <f t="shared" si="4"/>
        <v>#DIV/0!</v>
      </c>
      <c r="J34" s="349" t="e">
        <f t="shared" si="37"/>
        <v>#DIV/0!</v>
      </c>
      <c r="K34">
        <f>COUNTIFS('Quote Log'!$C:$C,"&gt;="&amp;DATE(2023,9,1),'Quote Log'!$C:$C,"&lt;="&amp;DATE(2023,9,30),'Quote Log'!$B:$B,"=LOST")</f>
        <v>0</v>
      </c>
      <c r="L34">
        <f>COUNTIFS('Quote Log'!$B:$B,"&lt;&gt;VOID",'Quote Log'!$B:$B,"&lt;&gt;Requoted",'Quote Log'!$C:$C,"&gt;="&amp;DATE(2023,9,1),'Quote Log'!$C:$C,"&lt;="&amp;DATE(2023,9,30),'Quote Log'!$V:$V,"=new")</f>
        <v>0</v>
      </c>
      <c r="M34" s="349" t="e">
        <f t="shared" si="6"/>
        <v>#DIV/0!</v>
      </c>
      <c r="N34" s="339" t="e">
        <f t="shared" si="38"/>
        <v>#DIV/0!</v>
      </c>
      <c r="O34" s="358">
        <f>SUMIFS('Quote Log'!$AB:$AB,'Quote Log'!$C:$C,"&gt;="&amp;DATE(2023,9,1),'Quote Log'!$C:$C,"&lt;="&amp;DATE(2023,9,30),'Quote Log'!$B:$B,"=Purchased",'Quote Log'!$AB:$AB,"&lt;&gt;#VALUE!")</f>
        <v>0</v>
      </c>
      <c r="P34" s="358">
        <f t="shared" si="39"/>
        <v>0</v>
      </c>
      <c r="Q34" s="349" t="e">
        <f t="shared" si="24"/>
        <v>#DIV/0!</v>
      </c>
      <c r="R34" s="349" t="e">
        <f t="shared" si="40"/>
        <v>#DIV/0!</v>
      </c>
      <c r="S34" s="358">
        <f>SUMIFS('Quote Log'!$AB:$AB,'Quote Log'!$C:$C,"&gt;="&amp;DATE(2023,9,1),'Quote Log'!$C:$C,"&lt;="&amp;DATE(2023,9,30),'Quote Log'!$B:$B,"=Purchased",'Quote Log'!$AB:$AB,"&lt;&gt;#VALUE!")+S33</f>
        <v>0</v>
      </c>
      <c r="T34" s="358">
        <f t="shared" si="41"/>
        <v>0</v>
      </c>
      <c r="U34" s="349" t="e">
        <f t="shared" si="27"/>
        <v>#DIV/0!</v>
      </c>
      <c r="V34" s="349" t="e">
        <f t="shared" si="42"/>
        <v>#DIV/0!</v>
      </c>
      <c r="W34">
        <f>COUNTIFS('Quote Log'!$B:$B,"&lt;&gt;VOID",'Quote Log'!$B:$B,"&lt;&gt;Requoted",'Quote Log'!$C:$C,"&gt;="&amp;DATE(2023,9,1),'Quote Log'!$C:$C,"&lt;="&amp;DATE(2023,9,30),'Quote Log'!$AK:$AK,"=Web Unknown")</f>
        <v>0</v>
      </c>
      <c r="X34">
        <f>COUNTIFS('Quote Log'!$B:$B,"&lt;&gt;VOID",'Quote Log'!$B:$B,"&lt;&gt;Requoted",'Quote Log'!$C:$C,"&gt;="&amp;DATE(2023,9,1),'Quote Log'!$C:$C,"&lt;="&amp;DATE(2023,9,30),'Quote Log'!$AK:$AK,"=Google")</f>
        <v>0</v>
      </c>
      <c r="Y34">
        <f>COUNTIFS('Quote Log'!$B:$B,"&lt;&gt;VOID",'Quote Log'!$B:$B,"&lt;&gt;Requoted",'Quote Log'!$C:$C,"&gt;="&amp;DATE(2023,9,1),'Quote Log'!$C:$C,"&lt;="&amp;DATE(2023,9,30),'Quote Log'!$AK:$AK,"=Linked-In")</f>
        <v>0</v>
      </c>
      <c r="Z34">
        <f>COUNTIFS('Quote Log'!$B:$B,"&lt;&gt;VOID",'Quote Log'!$B:$B,"&lt;&gt;Requoted",'Quote Log'!$C:$C,"&gt;="&amp;DATE(2023,9,1),'Quote Log'!$C:$C,"&lt;="&amp;DATE(2023,9,30),'Quote Log'!$AK:$AK,"=Thomasnet")</f>
        <v>0</v>
      </c>
      <c r="AA34">
        <f t="shared" ref="AA34:AA54" si="47">SUM(W34:Z34)</f>
        <v>0</v>
      </c>
      <c r="AB34">
        <f>COUNTIFS('Quote Log'!$B:$B,"&lt;&gt;VOID",'Quote Log'!$B:$B,"&lt;&gt;Requoted",'Quote Log'!$C:$C,"&gt;="&amp;DATE(2023,9,1),'Quote Log'!$C:$C,"&lt;="&amp;DATE(2023,9,30),'Quote Log'!$AK:$AK,"=Phone Call")</f>
        <v>0</v>
      </c>
      <c r="AC34">
        <f>COUNTIFS('Quote Log'!$B:$B,"&lt;&gt;VOID",'Quote Log'!$B:$B,"&lt;&gt;Requoted",'Quote Log'!$C:$C,"&gt;="&amp;DATE(2023,9,1),'Quote Log'!$C:$C,"&lt;="&amp;DATE(2023,9,30),'Quote Log'!$AK:$AK,"=Trade Show")</f>
        <v>0</v>
      </c>
      <c r="AD34">
        <f>COUNTIFS('Quote Log'!$B:$B,"&lt;&gt;VOID",'Quote Log'!$B:$B,"&lt;&gt;Requoted",'Quote Log'!$C:$C,"&gt;="&amp;DATE(2023,9,1),'Quote Log'!$C:$C,"&lt;="&amp;DATE(2023,9,30),'Quote Log'!$AK:$AK,"=Referral")</f>
        <v>0</v>
      </c>
      <c r="AE34" s="350">
        <f t="shared" si="43"/>
        <v>0</v>
      </c>
      <c r="AF34">
        <f>COUNTIFS('Quote Log'!$B:$B,"&lt;&gt;VOID",'Quote Log'!$B:$B,"&lt;&gt;",'Quote Log'!$B:$B,"&lt;&gt;Cathy",'Quote Log'!$B:$B,"&lt;&gt;Larry",'Quote Log'!$B:$B,"&lt;&gt;LOST",'Quote Log'!$B:$B,"&lt;&gt;Purchased",'Quote Log'!$B:$B,"&lt;&gt;Max",'Quote Log'!$B:$B,"&lt;&gt;Quote Sent",'Quote Log'!$B:$B,"&lt;&gt;ISSUE",'Quote Log'!$B:$B,"&lt;&gt;Requoted",'Quote Log'!$C:$C,"&gt;="&amp;DATE(2023,9,1),'Quote Log'!$C:$C,"&lt;="&amp;DATE(2023,9,30))</f>
        <v>0</v>
      </c>
      <c r="AG34" s="350">
        <f t="shared" si="44"/>
        <v>0</v>
      </c>
      <c r="AH34" s="358">
        <f>SUMIFS('Quote Log'!$AB:$AB,'Quote Log'!$B:$B,"=Quote Sent",'Quote Log'!$C:$C,"&gt;="&amp;DATE(2023,9,1),'Quote Log'!$C:$C,"&lt;="&amp;DATE(2023,9,30),'Quote Log'!$AB:$AB,"&lt;&gt;#VALUE!")</f>
        <v>0</v>
      </c>
      <c r="AI34" s="358">
        <f t="shared" si="45"/>
        <v>0</v>
      </c>
      <c r="AJ34" s="358">
        <f>SUMIFS('Quote Log'!$AB:$AB,'Quote Log'!$B:$B,"=LOST",'Quote Log'!$C:$C,"&gt;="&amp;DATE(2023,9,1),'Quote Log'!$C:$C,"&lt;="&amp;DATE(2023,9,30),'Quote Log'!$AB:$AB,"&lt;&gt;#VALUE!")</f>
        <v>0</v>
      </c>
      <c r="AK34" s="358">
        <f t="shared" si="46"/>
        <v>0</v>
      </c>
      <c r="AM34" s="339"/>
    </row>
    <row r="35" spans="1:39" x14ac:dyDescent="0.25">
      <c r="A35" s="338">
        <v>45200</v>
      </c>
      <c r="B35">
        <f>COUNTIFS('Quote Log'!$B:$B,"&lt;&gt;VOID",'Quote Log'!$B:$B,"&lt;&gt;Requoted",'Quote Log'!$C:$C,"&gt;="&amp;DATE(2023,10,1),'Quote Log'!$C:$C,"&lt;="&amp;DATE(2023,10,31))</f>
        <v>0</v>
      </c>
      <c r="C35">
        <f t="shared" si="33"/>
        <v>0</v>
      </c>
      <c r="D35">
        <f>COUNTIFS('Quote Log'!$B:$B,"&lt;&gt;VOID",'Quote Log'!$B:$B,"&lt;&gt;Requoted",'Quote Log'!$H:$H,"&gt;="&amp;DATE(2023,10,1),'Quote Log'!$H:$H,"&lt;="&amp;DATE(2023,10,31))</f>
        <v>0</v>
      </c>
      <c r="E35">
        <f t="shared" si="34"/>
        <v>0</v>
      </c>
      <c r="F35">
        <f t="shared" si="35"/>
        <v>0</v>
      </c>
      <c r="G35">
        <f>COUNTIFS('Quote Log'!$C:$C,"&gt;="&amp;DATE(2023,10,1),'Quote Log'!$C:$C,"&lt;="&amp;DATE(2023,10,31),'Quote Log'!$B:$B,"=Purchased")</f>
        <v>0</v>
      </c>
      <c r="H35" s="350">
        <f t="shared" si="36"/>
        <v>0</v>
      </c>
      <c r="I35" s="349" t="e">
        <f t="shared" si="4"/>
        <v>#DIV/0!</v>
      </c>
      <c r="J35" s="349" t="e">
        <f t="shared" si="37"/>
        <v>#DIV/0!</v>
      </c>
      <c r="K35">
        <f>COUNTIFS('Quote Log'!$C:$C,"&gt;="&amp;DATE(2023,10,1),'Quote Log'!$C:$C,"&lt;="&amp;DATE(2023,10,31),'Quote Log'!$B:$B,"=LOST")</f>
        <v>0</v>
      </c>
      <c r="L35">
        <f>COUNTIFS('Quote Log'!$B:$B,"&lt;&gt;VOID",'Quote Log'!$B:$B,"&lt;&gt;Requoted",'Quote Log'!$C:$C,"&gt;="&amp;DATE(2023,10,1),'Quote Log'!$C:$C,"&lt;="&amp;DATE(2023,10,31),'Quote Log'!$V:$V,"=new")</f>
        <v>0</v>
      </c>
      <c r="M35" s="349" t="e">
        <f t="shared" si="6"/>
        <v>#DIV/0!</v>
      </c>
      <c r="N35" s="339" t="e">
        <f t="shared" si="38"/>
        <v>#DIV/0!</v>
      </c>
      <c r="O35" s="358">
        <f>SUMIFS('Quote Log'!$AB:$AB,'Quote Log'!$C:$C,"&gt;="&amp;DATE(2023,10,1),'Quote Log'!$C:$C,"&lt;="&amp;DATE(2023,10,31),'Quote Log'!$B:$B,"=Purchased",'Quote Log'!$AB:$AB,"&lt;&gt;#VALUE!")</f>
        <v>0</v>
      </c>
      <c r="P35" s="358">
        <f t="shared" si="39"/>
        <v>0</v>
      </c>
      <c r="Q35" s="349" t="e">
        <f t="shared" si="24"/>
        <v>#DIV/0!</v>
      </c>
      <c r="R35" s="349" t="e">
        <f t="shared" si="40"/>
        <v>#DIV/0!</v>
      </c>
      <c r="S35" s="358">
        <f>SUMIFS('Quote Log'!$AB:$AB,'Quote Log'!$C:$C,"&gt;="&amp;DATE(2023,10,1),'Quote Log'!$C:$C,"&lt;="&amp;DATE(2023,10,31),'Quote Log'!$B:$B,"=Purchased",'Quote Log'!$AB:$AB,"&lt;&gt;#VALUE!")+S34</f>
        <v>0</v>
      </c>
      <c r="T35" s="358">
        <f t="shared" si="41"/>
        <v>0</v>
      </c>
      <c r="U35" s="349" t="e">
        <f t="shared" si="27"/>
        <v>#DIV/0!</v>
      </c>
      <c r="V35" s="349" t="e">
        <f t="shared" si="42"/>
        <v>#DIV/0!</v>
      </c>
      <c r="W35">
        <f>COUNTIFS('Quote Log'!$B:$B,"&lt;&gt;VOID",'Quote Log'!$B:$B,"&lt;&gt;Requoted",'Quote Log'!$C:$C,"&gt;="&amp;DATE(2023,10,1),'Quote Log'!$C:$C,"&lt;="&amp;DATE(2023,10,31),'Quote Log'!$AK:$AK,"=Web Unknown")</f>
        <v>0</v>
      </c>
      <c r="X35">
        <f>COUNTIFS('Quote Log'!$B:$B,"&lt;&gt;VOID",'Quote Log'!$B:$B,"&lt;&gt;Requoted",'Quote Log'!$C:$C,"&gt;="&amp;DATE(2023,10,1),'Quote Log'!$C:$C,"&lt;="&amp;DATE(2023,10,31),'Quote Log'!$AK:$AK,"=Google")</f>
        <v>0</v>
      </c>
      <c r="Y35">
        <f>COUNTIFS('Quote Log'!$B:$B,"&lt;&gt;VOID",'Quote Log'!$B:$B,"&lt;&gt;Requoted",'Quote Log'!$C:$C,"&gt;="&amp;DATE(2023,10,1),'Quote Log'!$C:$C,"&lt;="&amp;DATE(2023,10,31),'Quote Log'!$AK:$AK,"=Linked-In")</f>
        <v>0</v>
      </c>
      <c r="Z35">
        <f>COUNTIFS('Quote Log'!$B:$B,"&lt;&gt;VOID",'Quote Log'!$B:$B,"&lt;&gt;Requoted",'Quote Log'!$C:$C,"&gt;="&amp;DATE(2023,10,1),'Quote Log'!$C:$C,"&lt;="&amp;DATE(2023,10,31),'Quote Log'!$AK:$AK,"=Thomasnet")</f>
        <v>0</v>
      </c>
      <c r="AA35">
        <f t="shared" si="47"/>
        <v>0</v>
      </c>
      <c r="AB35">
        <f>COUNTIFS('Quote Log'!$B:$B,"&lt;&gt;VOID",'Quote Log'!$B:$B,"&lt;&gt;Requoted",'Quote Log'!$C:$C,"&gt;="&amp;DATE(2023,10,1),'Quote Log'!$C:$C,"&lt;="&amp;DATE(2023,10,31),'Quote Log'!$AK:$AK,"=Phone Call")</f>
        <v>0</v>
      </c>
      <c r="AC35">
        <f>COUNTIFS('Quote Log'!$B:$B,"&lt;&gt;VOID",'Quote Log'!$B:$B,"&lt;&gt;Requoted",'Quote Log'!$C:$C,"&gt;="&amp;DATE(2023,10,1),'Quote Log'!$C:$C,"&lt;="&amp;DATE(2023,10,31),'Quote Log'!$AK:$AK,"=Trade Show")</f>
        <v>0</v>
      </c>
      <c r="AD35">
        <f>COUNTIFS('Quote Log'!$B:$B,"&lt;&gt;VOID",'Quote Log'!$B:$B,"&lt;&gt;Requoted",'Quote Log'!$C:$C,"&gt;="&amp;DATE(2023,10,1),'Quote Log'!$C:$C,"&lt;="&amp;DATE(2023,10,31),'Quote Log'!$AK:$AK,"=Referral")</f>
        <v>0</v>
      </c>
      <c r="AE35" s="350">
        <f t="shared" si="43"/>
        <v>0</v>
      </c>
      <c r="AF35">
        <f>COUNTIFS('Quote Log'!$B:$B,"&lt;&gt;VOID",'Quote Log'!$B:$B,"&lt;&gt;",'Quote Log'!$B:$B,"&lt;&gt;Cathy",'Quote Log'!$B:$B,"&lt;&gt;Larry",'Quote Log'!$B:$B,"&lt;&gt;LOST",'Quote Log'!$B:$B,"&lt;&gt;Purchased",'Quote Log'!$B:$B,"&lt;&gt;Max",'Quote Log'!$B:$B,"&lt;&gt;Quote Sent",'Quote Log'!$B:$B,"&lt;&gt;ISSUE",'Quote Log'!$B:$B,"&lt;&gt;Requoted",'Quote Log'!$C:$C,"&gt;="&amp;DATE(2023,10,1),'Quote Log'!$C:$C,"&lt;="&amp;DATE(2023,10,31))</f>
        <v>0</v>
      </c>
      <c r="AG35" s="350">
        <f t="shared" si="44"/>
        <v>0</v>
      </c>
      <c r="AH35" s="358">
        <f>SUMIFS('Quote Log'!$AB:$AB,'Quote Log'!$B:$B,"=Quote Sent",'Quote Log'!$C:$C,"&gt;="&amp;DATE(2023,10,1),'Quote Log'!$C:$C,"&lt;="&amp;DATE(2023,10,31),'Quote Log'!$AB:$AB,"&lt;&gt;#VALUE!")</f>
        <v>0</v>
      </c>
      <c r="AI35" s="358">
        <f t="shared" si="45"/>
        <v>0</v>
      </c>
      <c r="AJ35" s="358">
        <f>SUMIFS('Quote Log'!$AB:$AB,'Quote Log'!$B:$B,"=LOST",'Quote Log'!$C:$C,"&gt;="&amp;DATE(2023,10,1),'Quote Log'!$C:$C,"&lt;="&amp;DATE(2023,10,31),'Quote Log'!$AB:$AB,"&lt;&gt;#VALUE!")</f>
        <v>0</v>
      </c>
      <c r="AK35" s="358">
        <f t="shared" si="46"/>
        <v>0</v>
      </c>
      <c r="AM35" s="339"/>
    </row>
    <row r="36" spans="1:39" x14ac:dyDescent="0.25">
      <c r="A36" s="338">
        <v>45231</v>
      </c>
      <c r="B36">
        <f>COUNTIFS('Quote Log'!$B:$B,"&lt;&gt;VOID",'Quote Log'!$B:$B,"&lt;&gt;Requoted",'Quote Log'!$C:$C,"&gt;="&amp;DATE(2023,11,1),'Quote Log'!$C:$C,"&lt;="&amp;DATE(2023,11,31))</f>
        <v>0</v>
      </c>
      <c r="C36">
        <f t="shared" si="33"/>
        <v>0</v>
      </c>
      <c r="D36">
        <f>COUNTIFS('Quote Log'!$B:$B,"&lt;&gt;VOID",'Quote Log'!$B:$B,"&lt;&gt;Requoted",'Quote Log'!$H:$H,"&gt;="&amp;DATE(2023,11,1),'Quote Log'!$H:$H,"&lt;="&amp;DATE(2023,11,31))</f>
        <v>0</v>
      </c>
      <c r="E36">
        <f t="shared" si="34"/>
        <v>0</v>
      </c>
      <c r="F36">
        <f t="shared" si="35"/>
        <v>0</v>
      </c>
      <c r="G36">
        <f>COUNTIFS('Quote Log'!$C:$C,"&gt;="&amp;DATE(2023,11,1),'Quote Log'!$C:$C,"&lt;="&amp;DATE(2023,11,31),'Quote Log'!$B:$B,"=Purchased")</f>
        <v>0</v>
      </c>
      <c r="H36" s="350">
        <f t="shared" si="36"/>
        <v>0</v>
      </c>
      <c r="I36" s="349" t="e">
        <f t="shared" si="4"/>
        <v>#DIV/0!</v>
      </c>
      <c r="J36" s="349" t="e">
        <f t="shared" si="37"/>
        <v>#DIV/0!</v>
      </c>
      <c r="K36">
        <f>COUNTIFS('Quote Log'!$C:$C,"&gt;="&amp;DATE(2023,11,1),'Quote Log'!$C:$C,"&lt;="&amp;DATE(2023,11,31),'Quote Log'!$B:$B,"=LOST")</f>
        <v>0</v>
      </c>
      <c r="L36">
        <f>COUNTIFS('Quote Log'!$B:$B,"&lt;&gt;VOID",'Quote Log'!$B:$B,"&lt;&gt;Requoted",'Quote Log'!$C:$C,"&gt;="&amp;DATE(2023,11,1),'Quote Log'!$C:$C,"&lt;="&amp;DATE(2023,11,31),'Quote Log'!$V:$V,"=new")</f>
        <v>0</v>
      </c>
      <c r="M36" s="349" t="e">
        <f t="shared" si="6"/>
        <v>#DIV/0!</v>
      </c>
      <c r="N36" s="339" t="e">
        <f t="shared" si="38"/>
        <v>#DIV/0!</v>
      </c>
      <c r="O36" s="358">
        <f>SUMIFS('Quote Log'!$AB:$AB,'Quote Log'!$C:$C,"&gt;="&amp;DATE(2023,11,1),'Quote Log'!$C:$C,"&lt;="&amp;DATE(2023,11,31),'Quote Log'!$B:$B,"=Purchased",'Quote Log'!$AB:$AB,"&lt;&gt;#VALUE!")</f>
        <v>0</v>
      </c>
      <c r="P36" s="358">
        <f t="shared" si="39"/>
        <v>0</v>
      </c>
      <c r="Q36" s="349" t="e">
        <f t="shared" si="24"/>
        <v>#DIV/0!</v>
      </c>
      <c r="R36" s="349" t="e">
        <f t="shared" si="40"/>
        <v>#DIV/0!</v>
      </c>
      <c r="S36" s="358">
        <f>SUMIFS('Quote Log'!$AB:$AB,'Quote Log'!$C:$C,"&gt;="&amp;DATE(2023,11,1),'Quote Log'!$C:$C,"&lt;="&amp;DATE(2023,11,31),'Quote Log'!$B:$B,"=Purchased",'Quote Log'!$AB:$AB,"&lt;&gt;#VALUE!")+S35</f>
        <v>0</v>
      </c>
      <c r="T36" s="358">
        <f t="shared" si="41"/>
        <v>0</v>
      </c>
      <c r="U36" s="349" t="e">
        <f t="shared" si="27"/>
        <v>#DIV/0!</v>
      </c>
      <c r="V36" s="349" t="e">
        <f t="shared" si="42"/>
        <v>#DIV/0!</v>
      </c>
      <c r="W36">
        <f>COUNTIFS('Quote Log'!$B:$B,"&lt;&gt;VOID",'Quote Log'!$B:$B,"&lt;&gt;Requoted",'Quote Log'!$C:$C,"&gt;="&amp;DATE(2023,11,1),'Quote Log'!$C:$C,"&lt;="&amp;DATE(2023,11,31),'Quote Log'!$AK:$AK,"=Web Unknown")</f>
        <v>0</v>
      </c>
      <c r="X36">
        <f>COUNTIFS('Quote Log'!$B:$B,"&lt;&gt;VOID",'Quote Log'!$B:$B,"&lt;&gt;Requoted",'Quote Log'!$C:$C,"&gt;="&amp;DATE(2023,11,1),'Quote Log'!$C:$C,"&lt;="&amp;DATE(2023,11,31),'Quote Log'!$AK:$AK,"=Google")</f>
        <v>0</v>
      </c>
      <c r="Y36">
        <f>COUNTIFS('Quote Log'!$B:$B,"&lt;&gt;VOID",'Quote Log'!$B:$B,"&lt;&gt;Requoted",'Quote Log'!$C:$C,"&gt;="&amp;DATE(2023,11,1),'Quote Log'!$C:$C,"&lt;="&amp;DATE(2023,11,31),'Quote Log'!$AK:$AK,"=Linked-In")</f>
        <v>0</v>
      </c>
      <c r="Z36">
        <f>COUNTIFS('Quote Log'!$B:$B,"&lt;&gt;VOID",'Quote Log'!$B:$B,"&lt;&gt;Requoted",'Quote Log'!$C:$C,"&gt;="&amp;DATE(2023,11,1),'Quote Log'!$C:$C,"&lt;="&amp;DATE(2023,11,31),'Quote Log'!$AK:$AK,"=Thomasnet")</f>
        <v>0</v>
      </c>
      <c r="AA36">
        <f t="shared" si="47"/>
        <v>0</v>
      </c>
      <c r="AB36">
        <f>COUNTIFS('Quote Log'!$B:$B,"&lt;&gt;VOID",'Quote Log'!$B:$B,"&lt;&gt;Requoted",'Quote Log'!$C:$C,"&gt;="&amp;DATE(2023,11,1),'Quote Log'!$C:$C,"&lt;="&amp;DATE(2023,11,31),'Quote Log'!$AK:$AK,"=Phone Call")</f>
        <v>0</v>
      </c>
      <c r="AC36">
        <f>COUNTIFS('Quote Log'!$B:$B,"&lt;&gt;VOID",'Quote Log'!$B:$B,"&lt;&gt;Requoted",'Quote Log'!$C:$C,"&gt;="&amp;DATE(2023,11,1),'Quote Log'!$C:$C,"&lt;="&amp;DATE(2023,11,31),'Quote Log'!$AK:$AK,"=Trade Show")</f>
        <v>0</v>
      </c>
      <c r="AD36">
        <f>COUNTIFS('Quote Log'!$B:$B,"&lt;&gt;VOID",'Quote Log'!$B:$B,"&lt;&gt;Requoted",'Quote Log'!$C:$C,"&gt;="&amp;DATE(2023,11,1),'Quote Log'!$C:$C,"&lt;="&amp;DATE(2023,11,31),'Quote Log'!$AK:$AK,"=Referral")</f>
        <v>0</v>
      </c>
      <c r="AE36" s="350">
        <f t="shared" si="43"/>
        <v>0</v>
      </c>
      <c r="AF36">
        <f>COUNTIFS('Quote Log'!$B:$B,"&lt;&gt;VOID",'Quote Log'!$B:$B,"&lt;&gt;",'Quote Log'!$B:$B,"&lt;&gt;Cathy",'Quote Log'!$B:$B,"&lt;&gt;Larry",'Quote Log'!$B:$B,"&lt;&gt;LOST",'Quote Log'!$B:$B,"&lt;&gt;Purchased",'Quote Log'!$B:$B,"&lt;&gt;Max",'Quote Log'!$B:$B,"&lt;&gt;Quote Sent",'Quote Log'!$B:$B,"&lt;&gt;ISSUE",'Quote Log'!$B:$B,"&lt;&gt;Requoted",'Quote Log'!$C:$C,"&gt;="&amp;DATE(2023,11,1),'Quote Log'!$C:$C,"&lt;="&amp;DATE(2023,11,31))</f>
        <v>0</v>
      </c>
      <c r="AG36" s="350">
        <f t="shared" si="44"/>
        <v>0</v>
      </c>
      <c r="AH36" s="358">
        <f>SUMIFS('Quote Log'!$AB:$AB,'Quote Log'!$B:$B,"=Quote Sent",'Quote Log'!$C:$C,"&gt;="&amp;DATE(2023,11,1),'Quote Log'!$C:$C,"&lt;="&amp;DATE(2023,11,31),'Quote Log'!$AB:$AB,"&lt;&gt;#VALUE!")</f>
        <v>0</v>
      </c>
      <c r="AI36" s="358">
        <f t="shared" si="45"/>
        <v>0</v>
      </c>
      <c r="AJ36" s="358">
        <f>SUMIFS('Quote Log'!$AB:$AB,'Quote Log'!$B:$B,"=LOST",'Quote Log'!$C:$C,"&gt;="&amp;DATE(2023,11,1),'Quote Log'!$C:$C,"&lt;="&amp;DATE(2023,11,31),'Quote Log'!$AB:$AB,"&lt;&gt;#VALUE!")</f>
        <v>0</v>
      </c>
      <c r="AK36" s="358">
        <f t="shared" si="46"/>
        <v>0</v>
      </c>
      <c r="AM36" s="339"/>
    </row>
    <row r="37" spans="1:39" x14ac:dyDescent="0.25">
      <c r="A37" s="338">
        <v>45261</v>
      </c>
      <c r="B37">
        <f>COUNTIFS('Quote Log'!$B:$B,"&lt;&gt;VOID",'Quote Log'!$B:$B,"&lt;&gt;Requoted",'Quote Log'!$C:$C,"&gt;="&amp;DATE(2023,12,1),'Quote Log'!$C:$C,"&lt;="&amp;DATE(2023,12,31))</f>
        <v>0</v>
      </c>
      <c r="C37">
        <f t="shared" si="33"/>
        <v>0</v>
      </c>
      <c r="D37">
        <f>COUNTIFS('Quote Log'!$B:$B,"&lt;&gt;VOID",'Quote Log'!$B:$B,"&lt;&gt;Requoted",'Quote Log'!$H:$H,"&gt;="&amp;DATE(2023,12,1),'Quote Log'!$H:$H,"&lt;="&amp;DATE(2023,12,31))</f>
        <v>0</v>
      </c>
      <c r="E37">
        <f t="shared" si="34"/>
        <v>0</v>
      </c>
      <c r="F37">
        <f t="shared" si="35"/>
        <v>0</v>
      </c>
      <c r="G37">
        <f>COUNTIFS('Quote Log'!$C:$C,"&gt;="&amp;DATE(2023,12,1),'Quote Log'!$C:$C,"&lt;="&amp;DATE(2023,12,31),'Quote Log'!$B:$B,"=Purchased")</f>
        <v>0</v>
      </c>
      <c r="H37" s="350">
        <f t="shared" si="36"/>
        <v>0</v>
      </c>
      <c r="I37" s="349" t="e">
        <f t="shared" si="4"/>
        <v>#DIV/0!</v>
      </c>
      <c r="J37" s="349" t="e">
        <f t="shared" si="37"/>
        <v>#DIV/0!</v>
      </c>
      <c r="K37">
        <f>COUNTIFS('Quote Log'!$C:$C,"&gt;="&amp;DATE(2023,12,1),'Quote Log'!$C:$C,"&lt;="&amp;DATE(2023,12,31),'Quote Log'!$B:$B,"=LOST")</f>
        <v>0</v>
      </c>
      <c r="L37">
        <f>COUNTIFS('Quote Log'!$B:$B,"&lt;&gt;VOID",'Quote Log'!$B:$B,"&lt;&gt;Requoted",'Quote Log'!$C:$C,"&gt;="&amp;DATE(2023,12,1),'Quote Log'!$C:$C,"&lt;="&amp;DATE(2023,12,31),'Quote Log'!$V:$V,"=new")</f>
        <v>0</v>
      </c>
      <c r="M37" s="349" t="e">
        <f t="shared" si="6"/>
        <v>#DIV/0!</v>
      </c>
      <c r="N37" s="339" t="e">
        <f t="shared" si="38"/>
        <v>#DIV/0!</v>
      </c>
      <c r="O37" s="358">
        <f>SUMIFS('Quote Log'!$AB:$AB,'Quote Log'!$C:$C,"&gt;="&amp;DATE(2023,12,1),'Quote Log'!$C:$C,"&lt;="&amp;DATE(2023,12,31),'Quote Log'!$B:$B,"=Purchased",'Quote Log'!$AB:$AB,"&lt;&gt;#VALUE!")</f>
        <v>0</v>
      </c>
      <c r="P37" s="358">
        <f t="shared" si="39"/>
        <v>0</v>
      </c>
      <c r="Q37" s="349" t="e">
        <f t="shared" si="24"/>
        <v>#DIV/0!</v>
      </c>
      <c r="R37" s="349" t="e">
        <f t="shared" si="40"/>
        <v>#DIV/0!</v>
      </c>
      <c r="S37" s="358">
        <f>SUMIFS('Quote Log'!$AB:$AB,'Quote Log'!$C:$C,"&gt;="&amp;DATE(2023,12,1),'Quote Log'!$C:$C,"&lt;="&amp;DATE(2023,12,31),'Quote Log'!$B:$B,"=Purchased",'Quote Log'!$AB:$AB,"&lt;&gt;#VALUE!")+S36</f>
        <v>0</v>
      </c>
      <c r="T37" s="358">
        <f t="shared" si="41"/>
        <v>0</v>
      </c>
      <c r="U37" s="349" t="e">
        <f t="shared" si="27"/>
        <v>#DIV/0!</v>
      </c>
      <c r="V37" s="349" t="e">
        <f t="shared" si="42"/>
        <v>#DIV/0!</v>
      </c>
      <c r="W37">
        <f>COUNTIFS('Quote Log'!$B:$B,"&lt;&gt;VOID",'Quote Log'!$B:$B,"&lt;&gt;Requoted",'Quote Log'!$C:$C,"&gt;="&amp;DATE(2023,12,1),'Quote Log'!$C:$C,"&lt;="&amp;DATE(2023,12,31),'Quote Log'!$AK:$AK,"=Web Unknown")</f>
        <v>0</v>
      </c>
      <c r="X37">
        <f>COUNTIFS('Quote Log'!$B:$B,"&lt;&gt;VOID",'Quote Log'!$B:$B,"&lt;&gt;Requoted",'Quote Log'!$C:$C,"&gt;="&amp;DATE(2023,12,1),'Quote Log'!$C:$C,"&lt;="&amp;DATE(2023,12,31),'Quote Log'!$AK:$AK,"=Google")</f>
        <v>0</v>
      </c>
      <c r="Y37">
        <f>COUNTIFS('Quote Log'!$B:$B,"&lt;&gt;VOID",'Quote Log'!$B:$B,"&lt;&gt;Requoted",'Quote Log'!$C:$C,"&gt;="&amp;DATE(2023,12,1),'Quote Log'!$C:$C,"&lt;="&amp;DATE(2023,12,31),'Quote Log'!$AK:$AK,"=Linked-In")</f>
        <v>0</v>
      </c>
      <c r="Z37">
        <f>COUNTIFS('Quote Log'!$B:$B,"&lt;&gt;VOID",'Quote Log'!$B:$B,"&lt;&gt;Requoted",'Quote Log'!$C:$C,"&gt;="&amp;DATE(2023,12,1),'Quote Log'!$C:$C,"&lt;="&amp;DATE(2023,12,31),'Quote Log'!$AK:$AK,"=Thomasnet")</f>
        <v>0</v>
      </c>
      <c r="AA37">
        <f t="shared" si="47"/>
        <v>0</v>
      </c>
      <c r="AB37">
        <f>COUNTIFS('Quote Log'!$B:$B,"&lt;&gt;VOID",'Quote Log'!$B:$B,"&lt;&gt;Requoted",'Quote Log'!$C:$C,"&gt;="&amp;DATE(2023,12,1),'Quote Log'!$C:$C,"&lt;="&amp;DATE(2023,12,31),'Quote Log'!$AK:$AK,"=Phone Call")</f>
        <v>0</v>
      </c>
      <c r="AC37">
        <f>COUNTIFS('Quote Log'!$B:$B,"&lt;&gt;VOID",'Quote Log'!$B:$B,"&lt;&gt;Requoted",'Quote Log'!$C:$C,"&gt;="&amp;DATE(2023,12,1),'Quote Log'!$C:$C,"&lt;="&amp;DATE(2023,12,31),'Quote Log'!$AK:$AK,"=Trade Show")</f>
        <v>0</v>
      </c>
      <c r="AD37">
        <f>COUNTIFS('Quote Log'!$B:$B,"&lt;&gt;VOID",'Quote Log'!$B:$B,"&lt;&gt;Requoted",'Quote Log'!$C:$C,"&gt;="&amp;DATE(2023,12,1),'Quote Log'!$C:$C,"&lt;="&amp;DATE(2023,12,31),'Quote Log'!$AK:$AK,"=Referral")</f>
        <v>0</v>
      </c>
      <c r="AE37" s="350">
        <f t="shared" si="43"/>
        <v>0</v>
      </c>
      <c r="AF37">
        <f>COUNTIFS('Quote Log'!$B:$B,"&lt;&gt;VOID",'Quote Log'!$B:$B,"&lt;&gt;",'Quote Log'!$B:$B,"&lt;&gt;Cathy",'Quote Log'!$B:$B,"&lt;&gt;Larry",'Quote Log'!$B:$B,"&lt;&gt;LOST",'Quote Log'!$B:$B,"&lt;&gt;Purchased",'Quote Log'!$B:$B,"&lt;&gt;Max",'Quote Log'!$B:$B,"&lt;&gt;Quote Sent",'Quote Log'!$B:$B,"&lt;&gt;ISSUE",'Quote Log'!$B:$B,"&lt;&gt;Requoted",'Quote Log'!$C:$C,"&gt;="&amp;DATE(2023,12,1),'Quote Log'!$C:$C,"&lt;="&amp;DATE(2023,12,31))</f>
        <v>0</v>
      </c>
      <c r="AG37" s="350">
        <f t="shared" si="44"/>
        <v>0</v>
      </c>
      <c r="AH37" s="358">
        <f>SUMIFS('Quote Log'!$AB:$AB,'Quote Log'!$B:$B,"=Quote Sent",'Quote Log'!$C:$C,"&gt;="&amp;DATE(2023,12,1),'Quote Log'!$C:$C,"&lt;="&amp;DATE(2023,12,31),'Quote Log'!$AB:$AB,"&lt;&gt;#VALUE!")</f>
        <v>0</v>
      </c>
      <c r="AI37" s="358">
        <f t="shared" si="45"/>
        <v>0</v>
      </c>
      <c r="AJ37" s="358">
        <f>SUMIFS('Quote Log'!$AB:$AB,'Quote Log'!$B:$B,"=LOST",'Quote Log'!$C:$C,"&gt;="&amp;DATE(2023,12,1),'Quote Log'!$C:$C,"&lt;="&amp;DATE(2023,12,31),'Quote Log'!$AB:$AB,"&lt;&gt;#VALUE!")</f>
        <v>0</v>
      </c>
      <c r="AK37" s="358">
        <f t="shared" si="46"/>
        <v>0</v>
      </c>
      <c r="AM37" s="339"/>
    </row>
    <row r="38" spans="1:39" x14ac:dyDescent="0.25">
      <c r="A38" s="338">
        <v>45292</v>
      </c>
      <c r="B38">
        <f>COUNTIFS('Quote Log'!$B:$B,"&lt;&gt;VOID",'Quote Log'!$B:$B,"&lt;&gt;Requoted",'Quote Log'!$C:$C,"&gt;="&amp;DATE(2024,1,1),'Quote Log'!$C:$C,"&lt;="&amp;DATE(2024,1,31))</f>
        <v>0</v>
      </c>
      <c r="C38">
        <f t="shared" ref="C38:C49" si="48">IF($AO$5,B38,NA())</f>
        <v>0</v>
      </c>
      <c r="D38">
        <f>COUNTIFS('Quote Log'!$B:$B,"&lt;&gt;VOID",'Quote Log'!$B:$B,"&lt;&gt;Requoted",'Quote Log'!$H:$H,"&gt;="&amp;DATE(2024,1,1),'Quote Log'!$H:$H,"&lt;="&amp;DATE(2024,1,31))</f>
        <v>0</v>
      </c>
      <c r="E38">
        <f t="shared" ref="E38:E49" si="49">IF($AO$5,D38,NA())</f>
        <v>0</v>
      </c>
      <c r="F38">
        <f t="shared" ref="F38:F54" si="50">IF(AO$5,G38,NA())</f>
        <v>0</v>
      </c>
      <c r="G38">
        <f>COUNTIFS('Quote Log'!$C:$C,"&gt;="&amp;DATE(2024,1,1),'Quote Log'!$C:$C,"&lt;="&amp;DATE(2024,1,31),'Quote Log'!$B:$B,"=Purchased")</f>
        <v>0</v>
      </c>
      <c r="H38" s="350">
        <f t="shared" ref="H38:H49" si="51">IF($AO$5,G38,NA())</f>
        <v>0</v>
      </c>
      <c r="I38" s="349" t="e">
        <f t="shared" si="4"/>
        <v>#DIV/0!</v>
      </c>
      <c r="J38" s="349" t="e">
        <f t="shared" ref="J38:J49" si="52">IF($AO$5,F38/B38,NA())</f>
        <v>#DIV/0!</v>
      </c>
      <c r="K38">
        <f>COUNTIFS('Quote Log'!$C:$C,"&gt;="&amp;DATE(2024,1,1),'Quote Log'!$C:$C,"&lt;="&amp;DATE(2024,1,31),'Quote Log'!$B:$B,"=LOST")</f>
        <v>0</v>
      </c>
      <c r="L38">
        <f>COUNTIFS('Quote Log'!$B:$B,"&lt;&gt;VOID",'Quote Log'!$B:$B,"&lt;&gt;Requoted",'Quote Log'!$C:$C,"&gt;="&amp;DATE(2024,1,1),'Quote Log'!$C:$C,"&lt;="&amp;DATE(2024,1,31),'Quote Log'!$V:$V,"=new")</f>
        <v>0</v>
      </c>
      <c r="M38" s="349" t="e">
        <f t="shared" si="6"/>
        <v>#DIV/0!</v>
      </c>
      <c r="N38" s="339" t="e">
        <f t="shared" ref="N38:N49" si="53">IF($AO$5,M38,NA())</f>
        <v>#DIV/0!</v>
      </c>
      <c r="O38" s="358">
        <f>SUMIFS('Quote Log'!$AB:$AB,'Quote Log'!$C:$C,"&gt;="&amp;DATE(2024,1,1),'Quote Log'!$C:$C,"&lt;="&amp;DATE(2024,1,31),'Quote Log'!$B:$B,"=Purchased",'Quote Log'!$AB:$AB,"&lt;&gt;#VALUE!")</f>
        <v>0</v>
      </c>
      <c r="P38" s="358">
        <f t="shared" ref="P38:P49" si="54">IF($AO$5,O38,NA())</f>
        <v>0</v>
      </c>
      <c r="Q38" s="349" t="e">
        <f t="shared" si="24"/>
        <v>#DIV/0!</v>
      </c>
      <c r="R38" s="349" t="e">
        <f t="shared" ref="R38:R49" si="55">IF($AO$5,Q38,NA())</f>
        <v>#DIV/0!</v>
      </c>
      <c r="S38" s="358">
        <f>SUMIFS('Quote Log'!$AB:$AB,'Quote Log'!$C:$C,"&gt;="&amp;DATE(2024,1,1),'Quote Log'!$C:$C,"&lt;="&amp;DATE(2024,1,31),'Quote Log'!$B:$B,"=Purchased",'Quote Log'!$AB:$AB,"&lt;&gt;#VALUE!")</f>
        <v>0</v>
      </c>
      <c r="T38" s="358">
        <f t="shared" ref="T38:T49" si="56">IF($AO$5,S38,NA())</f>
        <v>0</v>
      </c>
      <c r="U38" s="349" t="e">
        <f t="shared" si="27"/>
        <v>#DIV/0!</v>
      </c>
      <c r="V38" s="349" t="e">
        <f t="shared" ref="V38:V49" si="57">IF($AO$5,U38,NA())</f>
        <v>#DIV/0!</v>
      </c>
      <c r="W38">
        <f>COUNTIFS('Quote Log'!$B:$B,"&lt;&gt;VOID",'Quote Log'!$B:$B,"&lt;&gt;Requoted",'Quote Log'!$C:$C,"&gt;="&amp;DATE(2024,1,1),'Quote Log'!$C:$C,"&lt;="&amp;DATE(2024,1,31),'Quote Log'!$AK:$AK,"=Web Unknown")</f>
        <v>0</v>
      </c>
      <c r="X38">
        <f>COUNTIFS('Quote Log'!$B:$B,"&lt;&gt;VOID",'Quote Log'!$B:$B,"&lt;&gt;Requoted",'Quote Log'!$C:$C,"&gt;="&amp;DATE(2024,1,1),'Quote Log'!$C:$C,"&lt;="&amp;DATE(2024,1,31),'Quote Log'!$AK:$AK,"=Google")</f>
        <v>0</v>
      </c>
      <c r="Y38">
        <f>COUNTIFS('Quote Log'!$B:$B,"&lt;&gt;VOID",'Quote Log'!$B:$B,"&lt;&gt;Requoted",'Quote Log'!$C:$C,"&gt;="&amp;DATE(2024,1,1),'Quote Log'!$C:$C,"&lt;="&amp;DATE(2024,1,31),'Quote Log'!$AK:$AK,"=Linked-In")</f>
        <v>0</v>
      </c>
      <c r="Z38">
        <f>COUNTIFS('Quote Log'!$B:$B,"&lt;&gt;VOID",'Quote Log'!$B:$B,"&lt;&gt;Requoted",'Quote Log'!$C:$C,"&gt;="&amp;DATE(2024,1,1),'Quote Log'!$C:$C,"&lt;="&amp;DATE(2024,1,31),'Quote Log'!$AK:$AK,"=Thomasnet")</f>
        <v>0</v>
      </c>
      <c r="AA38">
        <f t="shared" si="47"/>
        <v>0</v>
      </c>
      <c r="AB38">
        <f>COUNTIFS('Quote Log'!$B:$B,"&lt;&gt;VOID",'Quote Log'!$B:$B,"&lt;&gt;Requoted",'Quote Log'!$C:$C,"&gt;="&amp;DATE(2024,1,1),'Quote Log'!$C:$C,"&lt;="&amp;DATE(2024,1,31),'Quote Log'!$AK:$AK,"=Phone Call")</f>
        <v>0</v>
      </c>
      <c r="AC38">
        <f>COUNTIFS('Quote Log'!$B:$B,"&lt;&gt;VOID",'Quote Log'!$B:$B,"&lt;&gt;Requoted",'Quote Log'!$C:$C,"&gt;="&amp;DATE(2024,1,1),'Quote Log'!$C:$C,"&lt;="&amp;DATE(2024,1,31),'Quote Log'!$AK:$AK,"=Trade Show")</f>
        <v>0</v>
      </c>
      <c r="AD38">
        <f>COUNTIFS('Quote Log'!$B:$B,"&lt;&gt;VOID",'Quote Log'!$B:$B,"&lt;&gt;Requoted",'Quote Log'!$C:$C,"&gt;="&amp;DATE(2024,1,1),'Quote Log'!$C:$C,"&lt;="&amp;DATE(2024,1,31),'Quote Log'!$AK:$AK,"=Referral")</f>
        <v>0</v>
      </c>
      <c r="AE38" s="350">
        <f t="shared" ref="AE38:AE49" si="58">IF($AO$5,W38,NA())</f>
        <v>0</v>
      </c>
      <c r="AF38">
        <f>COUNTIFS('Quote Log'!$B:$B,"&lt;&gt;VOID",'Quote Log'!$B:$B,"&lt;&gt;",'Quote Log'!$B:$B,"&lt;&gt;Cathy",'Quote Log'!$B:$B,"&lt;&gt;Larry",'Quote Log'!$B:$B,"&lt;&gt;LOST",'Quote Log'!$B:$B,"&lt;&gt;Purchased",'Quote Log'!$B:$B,"&lt;&gt;Max",'Quote Log'!$B:$B,"&lt;&gt;Quote Sent",'Quote Log'!$B:$B,"&lt;&gt;ISSUE",'Quote Log'!$B:$B,"&lt;&gt;Requoted",'Quote Log'!$C:$C,"&gt;="&amp;DATE(2024,1,1),'Quote Log'!$C:$C,"&lt;="&amp;DATE(2024,1,31))</f>
        <v>0</v>
      </c>
      <c r="AG38" s="350">
        <f t="shared" ref="AG38:AG49" si="59">IF($AO$5,AF38,NA())</f>
        <v>0</v>
      </c>
      <c r="AH38" s="358">
        <f>SUMIFS('Quote Log'!$AB:$AB,'Quote Log'!$B:$B,"=Quote Sent",'Quote Log'!$C:$C,"&gt;="&amp;DATE(2024,1,1),'Quote Log'!$C:$C,"&lt;="&amp;DATE(2024,1,31),'Quote Log'!$AB:$AB,"&lt;&gt;#VALUE!")</f>
        <v>0</v>
      </c>
      <c r="AI38" s="358">
        <f t="shared" ref="AI38:AI49" si="60">IF($AO$5,AH38,NA())</f>
        <v>0</v>
      </c>
      <c r="AJ38" s="358">
        <f>SUMIFS('Quote Log'!$AB:$AB,'Quote Log'!$B:$B,"=LOST",'Quote Log'!$C:$C,"&gt;="&amp;DATE(2024,1,1),'Quote Log'!$C:$C,"&lt;="&amp;DATE(2024,1,31),'Quote Log'!$AB:$AB,"&lt;&gt;#VALUE!")</f>
        <v>0</v>
      </c>
      <c r="AK38" s="358">
        <f t="shared" ref="AK38:AK49" si="61">IF($AO$5,AJ38,NA())</f>
        <v>0</v>
      </c>
      <c r="AM38" s="339"/>
    </row>
    <row r="39" spans="1:39" x14ac:dyDescent="0.25">
      <c r="A39" s="338">
        <v>45323</v>
      </c>
      <c r="B39">
        <f>COUNTIFS('Quote Log'!$B:$B,"&lt;&gt;VOID",'Quote Log'!$B:$B,"&lt;&gt;Requoted",'Quote Log'!$C:$C,"&gt;="&amp;DATE(2024,2,1),'Quote Log'!$C:$C,"&lt;="&amp;DATE(2024,2,29))</f>
        <v>0</v>
      </c>
      <c r="C39">
        <f t="shared" si="48"/>
        <v>0</v>
      </c>
      <c r="D39">
        <f>COUNTIFS('Quote Log'!$B:$B,"&lt;&gt;VOID",'Quote Log'!$B:$B,"&lt;&gt;Requoted",'Quote Log'!$H:$H,"&gt;="&amp;DATE(2024,2,1),'Quote Log'!$H:$H,"&lt;="&amp;DATE(2024,2,29))</f>
        <v>0</v>
      </c>
      <c r="E39">
        <f t="shared" si="49"/>
        <v>0</v>
      </c>
      <c r="F39">
        <f t="shared" si="50"/>
        <v>0</v>
      </c>
      <c r="G39">
        <f>COUNTIFS('Quote Log'!$C:$C,"&gt;="&amp;DATE(2024,2,1),'Quote Log'!$C:$C,"&lt;="&amp;DATE(2024,2,29),'Quote Log'!$B:$B,"=Purchased")</f>
        <v>0</v>
      </c>
      <c r="H39" s="350">
        <f t="shared" si="51"/>
        <v>0</v>
      </c>
      <c r="I39" s="349" t="e">
        <f t="shared" si="4"/>
        <v>#DIV/0!</v>
      </c>
      <c r="J39" s="349" t="e">
        <f t="shared" si="52"/>
        <v>#DIV/0!</v>
      </c>
      <c r="K39">
        <f>COUNTIFS('Quote Log'!$C:$C,"&gt;="&amp;DATE(2024,2,1),'Quote Log'!$C:$C,"&lt;="&amp;DATE(2024,2,29),'Quote Log'!$B:$B,"=LOST")</f>
        <v>0</v>
      </c>
      <c r="L39">
        <f>COUNTIFS('Quote Log'!$B:$B,"&lt;&gt;VOID",'Quote Log'!$B:$B,"&lt;&gt;Requoted",'Quote Log'!$C:$C,"&gt;="&amp;DATE(2024,2,1),'Quote Log'!$C:$C,"&lt;="&amp;DATE(2024,2,29),'Quote Log'!$V:$V,"=new")</f>
        <v>0</v>
      </c>
      <c r="M39" s="349" t="e">
        <f t="shared" si="6"/>
        <v>#DIV/0!</v>
      </c>
      <c r="N39" s="339" t="e">
        <f t="shared" si="53"/>
        <v>#DIV/0!</v>
      </c>
      <c r="O39" s="358">
        <f>SUMIFS('Quote Log'!$AB:$AB,'Quote Log'!$C:$C,"&gt;="&amp;DATE(2024,2,1),'Quote Log'!$C:$C,"&lt;="&amp;DATE(2024,2,29),'Quote Log'!$B:$B,"=Purchased",'Quote Log'!$AB:$AB,"&lt;&gt;#VALUE!")</f>
        <v>0</v>
      </c>
      <c r="P39" s="358">
        <f t="shared" si="54"/>
        <v>0</v>
      </c>
      <c r="Q39" s="349" t="e">
        <f t="shared" si="24"/>
        <v>#DIV/0!</v>
      </c>
      <c r="R39" s="349" t="e">
        <f t="shared" si="55"/>
        <v>#DIV/0!</v>
      </c>
      <c r="S39" s="358">
        <f>SUMIFS('Quote Log'!$AB:$AB,'Quote Log'!$C:$C,"&gt;="&amp;DATE(2024,2,1),'Quote Log'!$C:$C,"&lt;="&amp;DATE(2024,2,29),'Quote Log'!$B:$B,"=Purchased",'Quote Log'!$AB:$AB,"&lt;&gt;#VALUE!")+S38</f>
        <v>0</v>
      </c>
      <c r="T39" s="358">
        <f t="shared" si="56"/>
        <v>0</v>
      </c>
      <c r="U39" s="349" t="e">
        <f t="shared" si="27"/>
        <v>#DIV/0!</v>
      </c>
      <c r="V39" s="349" t="e">
        <f t="shared" si="57"/>
        <v>#DIV/0!</v>
      </c>
      <c r="W39">
        <f>COUNTIFS('Quote Log'!$B:$B,"&lt;&gt;VOID",'Quote Log'!$B:$B,"&lt;&gt;Requoted",'Quote Log'!$C:$C,"&gt;="&amp;DATE(2024,2,1),'Quote Log'!$C:$C,"&lt;="&amp;DATE(2024,2,29),'Quote Log'!$AK:$AK,"=Web Unknown")</f>
        <v>0</v>
      </c>
      <c r="X39">
        <f>COUNTIFS('Quote Log'!$B:$B,"&lt;&gt;VOID",'Quote Log'!$B:$B,"&lt;&gt;Requoted",'Quote Log'!$C:$C,"&gt;="&amp;DATE(2024,2,1),'Quote Log'!$C:$C,"&lt;="&amp;DATE(2024,2,29),'Quote Log'!$AK:$AK,"=Google")</f>
        <v>0</v>
      </c>
      <c r="Y39">
        <f>COUNTIFS('Quote Log'!$B:$B,"&lt;&gt;VOID",'Quote Log'!$B:$B,"&lt;&gt;Requoted",'Quote Log'!$C:$C,"&gt;="&amp;DATE(2024,2,1),'Quote Log'!$C:$C,"&lt;="&amp;DATE(2024,2,29),'Quote Log'!$AK:$AK,"=Linked-In")</f>
        <v>0</v>
      </c>
      <c r="Z39">
        <f>COUNTIFS('Quote Log'!$B:$B,"&lt;&gt;VOID",'Quote Log'!$B:$B,"&lt;&gt;Requoted",'Quote Log'!$C:$C,"&gt;="&amp;DATE(2024,2,1),'Quote Log'!$C:$C,"&lt;="&amp;DATE(2024,2,29),'Quote Log'!$AK:$AK,"=Thomasnet")</f>
        <v>0</v>
      </c>
      <c r="AA39">
        <f t="shared" si="47"/>
        <v>0</v>
      </c>
      <c r="AB39">
        <f>COUNTIFS('Quote Log'!$B:$B,"&lt;&gt;VOID",'Quote Log'!$B:$B,"&lt;&gt;Requoted",'Quote Log'!$C:$C,"&gt;="&amp;DATE(2024,2,1),'Quote Log'!$C:$C,"&lt;="&amp;DATE(2024,2,29),'Quote Log'!$AK:$AK,"=Phone Call")</f>
        <v>0</v>
      </c>
      <c r="AC39">
        <f>COUNTIFS('Quote Log'!$B:$B,"&lt;&gt;VOID",'Quote Log'!$B:$B,"&lt;&gt;Requoted",'Quote Log'!$C:$C,"&gt;="&amp;DATE(2024,2,1),'Quote Log'!$C:$C,"&lt;="&amp;DATE(2024,2,29),'Quote Log'!$AK:$AK,"=Trade Show")</f>
        <v>0</v>
      </c>
      <c r="AD39">
        <f>COUNTIFS('Quote Log'!$B:$B,"&lt;&gt;VOID",'Quote Log'!$B:$B,"&lt;&gt;Requoted",'Quote Log'!$C:$C,"&gt;="&amp;DATE(2024,2,1),'Quote Log'!$C:$C,"&lt;="&amp;DATE(2024,2,29),'Quote Log'!$AK:$AK,"=Referral")</f>
        <v>0</v>
      </c>
      <c r="AE39" s="350">
        <f t="shared" si="58"/>
        <v>0</v>
      </c>
      <c r="AF39">
        <f>COUNTIFS('Quote Log'!$B:$B,"&lt;&gt;VOID",'Quote Log'!$B:$B,"&lt;&gt;",'Quote Log'!$B:$B,"&lt;&gt;Cathy",'Quote Log'!$B:$B,"&lt;&gt;Larry",'Quote Log'!$B:$B,"&lt;&gt;LOST",'Quote Log'!$B:$B,"&lt;&gt;Purchased",'Quote Log'!$B:$B,"&lt;&gt;Max",'Quote Log'!$B:$B,"&lt;&gt;Quote Sent",'Quote Log'!$B:$B,"&lt;&gt;ISSUE",'Quote Log'!$B:$B,"&lt;&gt;Requoted",'Quote Log'!$C:$C,"&gt;="&amp;DATE(2024,2,1),'Quote Log'!$C:$C,"&lt;="&amp;DATE(2024,2,29))</f>
        <v>0</v>
      </c>
      <c r="AG39" s="350">
        <f t="shared" si="59"/>
        <v>0</v>
      </c>
      <c r="AH39" s="358">
        <f>SUMIFS('Quote Log'!$AB:$AB,'Quote Log'!$B:$B,"=Quote Sent",'Quote Log'!$C:$C,"&gt;="&amp;DATE(2024,2,1),'Quote Log'!$C:$C,"&lt;="&amp;DATE(2024,2,29),'Quote Log'!$AB:$AB,"&lt;&gt;#VALUE!")</f>
        <v>0</v>
      </c>
      <c r="AI39" s="358">
        <f t="shared" si="60"/>
        <v>0</v>
      </c>
      <c r="AJ39" s="358">
        <f>SUMIFS('Quote Log'!$AB:$AB,'Quote Log'!$B:$B,"=LOST",'Quote Log'!$C:$C,"&gt;="&amp;DATE(2024,2,1),'Quote Log'!$C:$C,"&lt;="&amp;DATE(2024,2,29),'Quote Log'!$AB:$AB,"&lt;&gt;#VALUE!")</f>
        <v>0</v>
      </c>
      <c r="AK39" s="358">
        <f t="shared" si="61"/>
        <v>0</v>
      </c>
      <c r="AM39" s="339"/>
    </row>
    <row r="40" spans="1:39" x14ac:dyDescent="0.25">
      <c r="A40" s="338">
        <v>45352</v>
      </c>
      <c r="B40">
        <f>COUNTIFS('Quote Log'!$B:$B,"&lt;&gt;VOID",'Quote Log'!$B:$B,"&lt;&gt;Requoted",'Quote Log'!$C:$C,"&gt;="&amp;DATE(2024,3,1),'Quote Log'!$C:$C,"&lt;="&amp;DATE(2024,3,31))</f>
        <v>0</v>
      </c>
      <c r="C40">
        <f t="shared" si="48"/>
        <v>0</v>
      </c>
      <c r="D40">
        <f>COUNTIFS('Quote Log'!$B:$B,"&lt;&gt;VOID",'Quote Log'!$B:$B,"&lt;&gt;Requoted",'Quote Log'!$H:$H,"&gt;="&amp;DATE(2024,3,1),'Quote Log'!$H:$H,"&lt;="&amp;DATE(2024,3,31))</f>
        <v>0</v>
      </c>
      <c r="E40">
        <f t="shared" si="49"/>
        <v>0</v>
      </c>
      <c r="F40">
        <f t="shared" si="50"/>
        <v>0</v>
      </c>
      <c r="G40">
        <f>COUNTIFS('Quote Log'!$C:$C,"&gt;="&amp;DATE(2024,3,1),'Quote Log'!$C:$C,"&lt;="&amp;DATE(2024,3,31),'Quote Log'!$B:$B,"=Purchased")</f>
        <v>0</v>
      </c>
      <c r="H40" s="350">
        <f t="shared" si="51"/>
        <v>0</v>
      </c>
      <c r="I40" s="349" t="e">
        <f t="shared" si="4"/>
        <v>#DIV/0!</v>
      </c>
      <c r="J40" s="349" t="e">
        <f t="shared" si="52"/>
        <v>#DIV/0!</v>
      </c>
      <c r="K40">
        <f>COUNTIFS('Quote Log'!$C:$C,"&gt;="&amp;DATE(2024,3,1),'Quote Log'!$C:$C,"&lt;="&amp;DATE(2024,3,31),'Quote Log'!$B:$B,"=LOST")</f>
        <v>0</v>
      </c>
      <c r="L40">
        <f>COUNTIFS('Quote Log'!$B:$B,"&lt;&gt;VOID",'Quote Log'!$B:$B,"&lt;&gt;Requoted",'Quote Log'!$C:$C,"&gt;="&amp;DATE(2024,3,1),'Quote Log'!$C:$C,"&lt;="&amp;DATE(2024,3,31),'Quote Log'!$V:$V,"=new")</f>
        <v>0</v>
      </c>
      <c r="M40" s="349" t="e">
        <f t="shared" si="6"/>
        <v>#DIV/0!</v>
      </c>
      <c r="N40" s="339" t="e">
        <f t="shared" si="53"/>
        <v>#DIV/0!</v>
      </c>
      <c r="O40" s="358">
        <f>SUMIFS('Quote Log'!$AB:$AB,'Quote Log'!$C:$C,"&gt;="&amp;DATE(2024,3,1),'Quote Log'!$C:$C,"&lt;="&amp;DATE(2024,3,31),'Quote Log'!$B:$B,"=Purchased",'Quote Log'!$AB:$AB,"&lt;&gt;#VALUE!")</f>
        <v>0</v>
      </c>
      <c r="P40" s="358">
        <f t="shared" si="54"/>
        <v>0</v>
      </c>
      <c r="Q40" s="349" t="e">
        <f t="shared" si="24"/>
        <v>#DIV/0!</v>
      </c>
      <c r="R40" s="349" t="e">
        <f t="shared" si="55"/>
        <v>#DIV/0!</v>
      </c>
      <c r="S40" s="358">
        <f>SUMIFS('Quote Log'!$AB:$AB,'Quote Log'!$C:$C,"&gt;="&amp;DATE(2024,3,1),'Quote Log'!$C:$C,"&lt;="&amp;DATE(2024,3,31),'Quote Log'!$B:$B,"=Purchased",'Quote Log'!$AB:$AB,"&lt;&gt;#VALUE!")+S39</f>
        <v>0</v>
      </c>
      <c r="T40" s="358">
        <f t="shared" si="56"/>
        <v>0</v>
      </c>
      <c r="U40" s="349" t="e">
        <f t="shared" si="27"/>
        <v>#DIV/0!</v>
      </c>
      <c r="V40" s="349" t="e">
        <f t="shared" si="57"/>
        <v>#DIV/0!</v>
      </c>
      <c r="W40">
        <f>COUNTIFS('Quote Log'!$B:$B,"&lt;&gt;VOID",'Quote Log'!$B:$B,"&lt;&gt;Requoted",'Quote Log'!$C:$C,"&gt;="&amp;DATE(2024,3,1),'Quote Log'!$C:$C,"&lt;="&amp;DATE(2024,3,31),'Quote Log'!$AK:$AK,"=Web Unknown")</f>
        <v>0</v>
      </c>
      <c r="X40">
        <f>COUNTIFS('Quote Log'!$B:$B,"&lt;&gt;VOID",'Quote Log'!$B:$B,"&lt;&gt;Requoted",'Quote Log'!$C:$C,"&gt;="&amp;DATE(2024,3,1),'Quote Log'!$C:$C,"&lt;="&amp;DATE(2024,3,31),'Quote Log'!$AK:$AK,"=Google")</f>
        <v>0</v>
      </c>
      <c r="Y40">
        <f>COUNTIFS('Quote Log'!$B:$B,"&lt;&gt;VOID",'Quote Log'!$B:$B,"&lt;&gt;Requoted",'Quote Log'!$C:$C,"&gt;="&amp;DATE(2024,3,1),'Quote Log'!$C:$C,"&lt;="&amp;DATE(2024,3,31),'Quote Log'!$AK:$AK,"=Linked-In")</f>
        <v>0</v>
      </c>
      <c r="Z40">
        <f>COUNTIFS('Quote Log'!$B:$B,"&lt;&gt;VOID",'Quote Log'!$B:$B,"&lt;&gt;Requoted",'Quote Log'!$C:$C,"&gt;="&amp;DATE(2024,3,1),'Quote Log'!$C:$C,"&lt;="&amp;DATE(2024,3,31),'Quote Log'!$AK:$AK,"=Thomasnet")</f>
        <v>0</v>
      </c>
      <c r="AA40">
        <f t="shared" si="47"/>
        <v>0</v>
      </c>
      <c r="AB40">
        <f>COUNTIFS('Quote Log'!$B:$B,"&lt;&gt;VOID",'Quote Log'!$B:$B,"&lt;&gt;Requoted",'Quote Log'!$C:$C,"&gt;="&amp;DATE(2024,3,1),'Quote Log'!$C:$C,"&lt;="&amp;DATE(2024,3,31),'Quote Log'!$AK:$AK,"=Phone Call")</f>
        <v>0</v>
      </c>
      <c r="AC40">
        <f>COUNTIFS('Quote Log'!$B:$B,"&lt;&gt;VOID",'Quote Log'!$B:$B,"&lt;&gt;Requoted",'Quote Log'!$C:$C,"&gt;="&amp;DATE(2024,3,1),'Quote Log'!$C:$C,"&lt;="&amp;DATE(2024,3,31),'Quote Log'!$AK:$AK,"=Trade Show")</f>
        <v>0</v>
      </c>
      <c r="AD40">
        <f>COUNTIFS('Quote Log'!$B:$B,"&lt;&gt;VOID",'Quote Log'!$B:$B,"&lt;&gt;Requoted",'Quote Log'!$C:$C,"&gt;="&amp;DATE(2024,3,1),'Quote Log'!$C:$C,"&lt;="&amp;DATE(2024,3,31),'Quote Log'!$AK:$AK,"=Referral")</f>
        <v>0</v>
      </c>
      <c r="AE40" s="350">
        <f t="shared" si="58"/>
        <v>0</v>
      </c>
      <c r="AF40">
        <f>COUNTIFS('Quote Log'!$B:$B,"&lt;&gt;VOID",'Quote Log'!$B:$B,"&lt;&gt;",'Quote Log'!$B:$B,"&lt;&gt;Cathy",'Quote Log'!$B:$B,"&lt;&gt;Larry",'Quote Log'!$B:$B,"&lt;&gt;LOST",'Quote Log'!$B:$B,"&lt;&gt;Purchased",'Quote Log'!$B:$B,"&lt;&gt;Max",'Quote Log'!$B:$B,"&lt;&gt;Quote Sent",'Quote Log'!$B:$B,"&lt;&gt;ISSUE",'Quote Log'!$B:$B,"&lt;&gt;Requoted",'Quote Log'!$C:$C,"&gt;="&amp;DATE(2024,3,1),'Quote Log'!$C:$C,"&lt;="&amp;DATE(2024,3,31))</f>
        <v>0</v>
      </c>
      <c r="AG40" s="350">
        <f t="shared" si="59"/>
        <v>0</v>
      </c>
      <c r="AH40" s="358">
        <f>SUMIFS('Quote Log'!$AB:$AB,'Quote Log'!$B:$B,"=Quote Sent",'Quote Log'!$C:$C,"&gt;="&amp;DATE(2024,3,1),'Quote Log'!$C:$C,"&lt;="&amp;DATE(2024,3,31),'Quote Log'!$AB:$AB,"&lt;&gt;#VALUE!")</f>
        <v>0</v>
      </c>
      <c r="AI40" s="358">
        <f t="shared" si="60"/>
        <v>0</v>
      </c>
      <c r="AJ40" s="358">
        <f>SUMIFS('Quote Log'!$AB:$AB,'Quote Log'!$B:$B,"=LOST",'Quote Log'!$C:$C,"&gt;="&amp;DATE(2024,3,1),'Quote Log'!$C:$C,"&lt;="&amp;DATE(2024,3,31),'Quote Log'!$AB:$AB,"&lt;&gt;#VALUE!")</f>
        <v>0</v>
      </c>
      <c r="AK40" s="358">
        <f t="shared" si="61"/>
        <v>0</v>
      </c>
      <c r="AM40" s="339"/>
    </row>
    <row r="41" spans="1:39" x14ac:dyDescent="0.25">
      <c r="A41" s="338">
        <v>45383</v>
      </c>
      <c r="B41">
        <f>COUNTIFS('Quote Log'!$B:$B,"&lt;&gt;VOID",'Quote Log'!$B:$B,"&lt;&gt;Requoted",'Quote Log'!$C:$C,"&gt;="&amp;DATE(2024,4,1),'Quote Log'!$C:$C,"&lt;="&amp;DATE(2024,4,30))</f>
        <v>0</v>
      </c>
      <c r="C41">
        <f t="shared" si="48"/>
        <v>0</v>
      </c>
      <c r="D41">
        <f>COUNTIFS('Quote Log'!$B:$B,"&lt;&gt;VOID",'Quote Log'!$B:$B,"&lt;&gt;Requoted",'Quote Log'!$H:$H,"&gt;="&amp;DATE(2024,4,1),'Quote Log'!$H:$H,"&lt;="&amp;DATE(2024,4,30))</f>
        <v>0</v>
      </c>
      <c r="E41">
        <f t="shared" si="49"/>
        <v>0</v>
      </c>
      <c r="F41">
        <f t="shared" si="50"/>
        <v>0</v>
      </c>
      <c r="G41">
        <f>COUNTIFS('Quote Log'!$C:$C,"&gt;="&amp;DATE(2024,4,1),'Quote Log'!$C:$C,"&lt;="&amp;DATE(2024,4,30),'Quote Log'!$B:$B,"=Purchased")</f>
        <v>0</v>
      </c>
      <c r="H41" s="350">
        <f t="shared" si="51"/>
        <v>0</v>
      </c>
      <c r="I41" s="349" t="e">
        <f t="shared" si="4"/>
        <v>#DIV/0!</v>
      </c>
      <c r="J41" s="349" t="e">
        <f t="shared" si="52"/>
        <v>#DIV/0!</v>
      </c>
      <c r="K41">
        <f>COUNTIFS('Quote Log'!$C:$C,"&gt;="&amp;DATE(2024,4,1),'Quote Log'!$C:$C,"&lt;="&amp;DATE(2024,4,30),'Quote Log'!$B:$B,"=LOST")</f>
        <v>0</v>
      </c>
      <c r="L41">
        <f>COUNTIFS('Quote Log'!$B:$B,"&lt;&gt;VOID",'Quote Log'!$B:$B,"&lt;&gt;Requoted",'Quote Log'!$C:$C,"&gt;="&amp;DATE(2024,4,1),'Quote Log'!$C:$C,"&lt;="&amp;DATE(2024,4,30),'Quote Log'!$V:$V,"=new")</f>
        <v>0</v>
      </c>
      <c r="M41" s="349" t="e">
        <f t="shared" si="6"/>
        <v>#DIV/0!</v>
      </c>
      <c r="N41" s="339" t="e">
        <f t="shared" si="53"/>
        <v>#DIV/0!</v>
      </c>
      <c r="O41" s="358">
        <f>SUMIFS('Quote Log'!$AB:$AB,'Quote Log'!$C:$C,"&gt;="&amp;DATE(2024,4,1),'Quote Log'!$C:$C,"&lt;="&amp;DATE(2024,4,30),'Quote Log'!$B:$B,"=Purchased",'Quote Log'!$AB:$AB,"&lt;&gt;#VALUE!")</f>
        <v>0</v>
      </c>
      <c r="P41" s="358">
        <f t="shared" si="54"/>
        <v>0</v>
      </c>
      <c r="Q41" s="349" t="e">
        <f t="shared" si="24"/>
        <v>#DIV/0!</v>
      </c>
      <c r="R41" s="349" t="e">
        <f t="shared" si="55"/>
        <v>#DIV/0!</v>
      </c>
      <c r="S41" s="358">
        <f>SUMIFS('Quote Log'!$AB:$AB,'Quote Log'!$C:$C,"&gt;="&amp;DATE(2024,4,1),'Quote Log'!$C:$C,"&lt;="&amp;DATE(2024,4,30),'Quote Log'!$B:$B,"=Purchased",'Quote Log'!$AB:$AB,"&lt;&gt;#VALUE!")+S40</f>
        <v>0</v>
      </c>
      <c r="T41" s="358">
        <f t="shared" si="56"/>
        <v>0</v>
      </c>
      <c r="U41" s="349" t="e">
        <f t="shared" si="27"/>
        <v>#DIV/0!</v>
      </c>
      <c r="V41" s="349" t="e">
        <f t="shared" si="57"/>
        <v>#DIV/0!</v>
      </c>
      <c r="W41">
        <f>COUNTIFS('Quote Log'!$B:$B,"&lt;&gt;VOID",'Quote Log'!$B:$B,"&lt;&gt;Requoted",'Quote Log'!$C:$C,"&gt;="&amp;DATE(2024,4,1),'Quote Log'!$C:$C,"&lt;="&amp;DATE(2024,4,30),'Quote Log'!$AK:$AK,"=Web Unknown")</f>
        <v>0</v>
      </c>
      <c r="X41">
        <f>COUNTIFS('Quote Log'!$B:$B,"&lt;&gt;VOID",'Quote Log'!$B:$B,"&lt;&gt;Requoted",'Quote Log'!$C:$C,"&gt;="&amp;DATE(2024,4,1),'Quote Log'!$C:$C,"&lt;="&amp;DATE(2024,4,30),'Quote Log'!$AK:$AK,"=Google")</f>
        <v>0</v>
      </c>
      <c r="Y41">
        <f>COUNTIFS('Quote Log'!$B:$B,"&lt;&gt;VOID",'Quote Log'!$B:$B,"&lt;&gt;Requoted",'Quote Log'!$C:$C,"&gt;="&amp;DATE(2024,4,1),'Quote Log'!$C:$C,"&lt;="&amp;DATE(2024,4,30),'Quote Log'!$AK:$AK,"=Linked-In")</f>
        <v>0</v>
      </c>
      <c r="Z41">
        <f>COUNTIFS('Quote Log'!$B:$B,"&lt;&gt;VOID",'Quote Log'!$B:$B,"&lt;&gt;Requoted",'Quote Log'!$C:$C,"&gt;="&amp;DATE(2024,4,1),'Quote Log'!$C:$C,"&lt;="&amp;DATE(2024,4,30),'Quote Log'!$AK:$AK,"=Thomasnet")</f>
        <v>0</v>
      </c>
      <c r="AA41">
        <f t="shared" si="47"/>
        <v>0</v>
      </c>
      <c r="AB41">
        <f>COUNTIFS('Quote Log'!$B:$B,"&lt;&gt;VOID",'Quote Log'!$B:$B,"&lt;&gt;Requoted",'Quote Log'!$C:$C,"&gt;="&amp;DATE(2024,4,1),'Quote Log'!$C:$C,"&lt;="&amp;DATE(2024,4,30),'Quote Log'!$AK:$AK,"=Phone Call")</f>
        <v>0</v>
      </c>
      <c r="AC41">
        <f>COUNTIFS('Quote Log'!$B:$B,"&lt;&gt;VOID",'Quote Log'!$B:$B,"&lt;&gt;Requoted",'Quote Log'!$C:$C,"&gt;="&amp;DATE(2024,4,1),'Quote Log'!$C:$C,"&lt;="&amp;DATE(2024,4,30),'Quote Log'!$AK:$AK,"=Trade Show")</f>
        <v>0</v>
      </c>
      <c r="AD41">
        <f>COUNTIFS('Quote Log'!$B:$B,"&lt;&gt;VOID",'Quote Log'!$B:$B,"&lt;&gt;Requoted",'Quote Log'!$C:$C,"&gt;="&amp;DATE(2024,4,1),'Quote Log'!$C:$C,"&lt;="&amp;DATE(2024,4,30),'Quote Log'!$AK:$AK,"=Referral")</f>
        <v>0</v>
      </c>
      <c r="AE41" s="350">
        <f t="shared" si="58"/>
        <v>0</v>
      </c>
      <c r="AF41">
        <f>COUNTIFS('Quote Log'!$B:$B,"&lt;&gt;VOID",'Quote Log'!$B:$B,"&lt;&gt;",'Quote Log'!$B:$B,"&lt;&gt;Cathy",'Quote Log'!$B:$B,"&lt;&gt;Larry",'Quote Log'!$B:$B,"&lt;&gt;LOST",'Quote Log'!$B:$B,"&lt;&gt;Purchased",'Quote Log'!$B:$B,"&lt;&gt;Max",'Quote Log'!$B:$B,"&lt;&gt;Quote Sent",'Quote Log'!$B:$B,"&lt;&gt;ISSUE",'Quote Log'!$B:$B,"&lt;&gt;Requoted",'Quote Log'!$C:$C,"&gt;="&amp;DATE(2024,4,1),'Quote Log'!$C:$C,"&lt;="&amp;DATE(2024,4,30))</f>
        <v>0</v>
      </c>
      <c r="AG41" s="350">
        <f t="shared" si="59"/>
        <v>0</v>
      </c>
      <c r="AH41" s="358">
        <f>SUMIFS('Quote Log'!$AB:$AB,'Quote Log'!$B:$B,"=Quote Sent",'Quote Log'!$C:$C,"&gt;="&amp;DATE(2024,4,1),'Quote Log'!$C:$C,"&lt;="&amp;DATE(2024,4,30),'Quote Log'!$AB:$AB,"&lt;&gt;#VALUE!")</f>
        <v>0</v>
      </c>
      <c r="AI41" s="358">
        <f t="shared" si="60"/>
        <v>0</v>
      </c>
      <c r="AJ41" s="358">
        <f>SUMIFS('Quote Log'!$AB:$AB,'Quote Log'!$B:$B,"=LOST",'Quote Log'!$C:$C,"&gt;="&amp;DATE(2024,4,1),'Quote Log'!$C:$C,"&lt;="&amp;DATE(2024,4,30),'Quote Log'!$AB:$AB,"&lt;&gt;#VALUE!")</f>
        <v>0</v>
      </c>
      <c r="AK41" s="358">
        <f t="shared" si="61"/>
        <v>0</v>
      </c>
      <c r="AM41" s="339"/>
    </row>
    <row r="42" spans="1:39" x14ac:dyDescent="0.25">
      <c r="A42" s="338">
        <v>45413</v>
      </c>
      <c r="B42">
        <f>COUNTIFS('Quote Log'!$B:$B,"&lt;&gt;VOID",'Quote Log'!$B:$B,"&lt;&gt;Requoted",'Quote Log'!$C:$C,"&gt;="&amp;DATE(2024,5,1),'Quote Log'!$C:$C,"&lt;="&amp;DATE(2024,5,31))</f>
        <v>0</v>
      </c>
      <c r="C42">
        <f t="shared" si="48"/>
        <v>0</v>
      </c>
      <c r="D42">
        <f>COUNTIFS('Quote Log'!$B:$B,"&lt;&gt;VOID",'Quote Log'!$B:$B,"&lt;&gt;Requoted",'Quote Log'!$H:$H,"&gt;="&amp;DATE(2024,5,1),'Quote Log'!$H:$H,"&lt;="&amp;DATE(2024,5,31))</f>
        <v>0</v>
      </c>
      <c r="E42">
        <f t="shared" si="49"/>
        <v>0</v>
      </c>
      <c r="F42">
        <f t="shared" si="50"/>
        <v>0</v>
      </c>
      <c r="G42">
        <f>COUNTIFS('Quote Log'!$C:$C,"&gt;="&amp;DATE(2024,5,1),'Quote Log'!$C:$C,"&lt;="&amp;DATE(2024,5,31),'Quote Log'!$B:$B,"=Purchased")</f>
        <v>0</v>
      </c>
      <c r="H42" s="350">
        <f t="shared" si="51"/>
        <v>0</v>
      </c>
      <c r="I42" s="349" t="e">
        <f t="shared" si="4"/>
        <v>#DIV/0!</v>
      </c>
      <c r="J42" s="349" t="e">
        <f t="shared" si="52"/>
        <v>#DIV/0!</v>
      </c>
      <c r="K42">
        <f>COUNTIFS('Quote Log'!$C:$C,"&gt;="&amp;DATE(2024,5,1),'Quote Log'!$C:$C,"&lt;="&amp;DATE(2024,5,31),'Quote Log'!$B:$B,"=LOST")</f>
        <v>0</v>
      </c>
      <c r="L42">
        <f>COUNTIFS('Quote Log'!$B:$B,"&lt;&gt;VOID",'Quote Log'!$B:$B,"&lt;&gt;Requoted",'Quote Log'!$C:$C,"&gt;="&amp;DATE(2024,5,1),'Quote Log'!$C:$C,"&lt;="&amp;DATE(2024,5,31),'Quote Log'!$V:$V,"=new")</f>
        <v>0</v>
      </c>
      <c r="M42" s="349" t="e">
        <f t="shared" si="6"/>
        <v>#DIV/0!</v>
      </c>
      <c r="N42" s="339" t="e">
        <f t="shared" si="53"/>
        <v>#DIV/0!</v>
      </c>
      <c r="O42" s="358">
        <f>SUMIFS('Quote Log'!$AB:$AB,'Quote Log'!$C:$C,"&gt;="&amp;DATE(2024,5,1),'Quote Log'!$C:$C,"&lt;="&amp;DATE(2024,5,31),'Quote Log'!$B:$B,"=Purchased",'Quote Log'!$AB:$AB,"&lt;&gt;#VALUE!")</f>
        <v>0</v>
      </c>
      <c r="P42" s="358">
        <f t="shared" si="54"/>
        <v>0</v>
      </c>
      <c r="Q42" s="349" t="e">
        <f t="shared" si="24"/>
        <v>#DIV/0!</v>
      </c>
      <c r="R42" s="349" t="e">
        <f t="shared" si="55"/>
        <v>#DIV/0!</v>
      </c>
      <c r="S42" s="358">
        <f>SUMIFS('Quote Log'!$AB:$AB,'Quote Log'!$C:$C,"&gt;="&amp;DATE(2024,5,1),'Quote Log'!$C:$C,"&lt;="&amp;DATE(2024,5,31),'Quote Log'!$B:$B,"=Purchased",'Quote Log'!$AB:$AB,"&lt;&gt;#VALUE!")+S41</f>
        <v>0</v>
      </c>
      <c r="T42" s="358">
        <f t="shared" si="56"/>
        <v>0</v>
      </c>
      <c r="U42" s="349" t="e">
        <f t="shared" si="27"/>
        <v>#DIV/0!</v>
      </c>
      <c r="V42" s="349" t="e">
        <f t="shared" si="57"/>
        <v>#DIV/0!</v>
      </c>
      <c r="W42">
        <f>COUNTIFS('Quote Log'!$B:$B,"&lt;&gt;VOID",'Quote Log'!$B:$B,"&lt;&gt;Requoted",'Quote Log'!$C:$C,"&gt;="&amp;DATE(2024,5,1),'Quote Log'!$C:$C,"&lt;="&amp;DATE(2024,5,31),'Quote Log'!$AK:$AK,"=Web Unknown")</f>
        <v>0</v>
      </c>
      <c r="X42">
        <f>COUNTIFS('Quote Log'!$B:$B,"&lt;&gt;VOID",'Quote Log'!$B:$B,"&lt;&gt;Requoted",'Quote Log'!$C:$C,"&gt;="&amp;DATE(2024,5,1),'Quote Log'!$C:$C,"&lt;="&amp;DATE(2024,5,31),'Quote Log'!$AK:$AK,"=Google")</f>
        <v>0</v>
      </c>
      <c r="Y42">
        <f>COUNTIFS('Quote Log'!$B:$B,"&lt;&gt;VOID",'Quote Log'!$B:$B,"&lt;&gt;Requoted",'Quote Log'!$C:$C,"&gt;="&amp;DATE(2024,5,1),'Quote Log'!$C:$C,"&lt;="&amp;DATE(2024,5,31),'Quote Log'!$AK:$AK,"=Linked-In")</f>
        <v>0</v>
      </c>
      <c r="Z42">
        <f>COUNTIFS('Quote Log'!$B:$B,"&lt;&gt;VOID",'Quote Log'!$B:$B,"&lt;&gt;Requoted",'Quote Log'!$C:$C,"&gt;="&amp;DATE(2024,5,1),'Quote Log'!$C:$C,"&lt;="&amp;DATE(2024,5,31),'Quote Log'!$AK:$AK,"=Thomasnet")</f>
        <v>0</v>
      </c>
      <c r="AA42">
        <f t="shared" si="47"/>
        <v>0</v>
      </c>
      <c r="AB42">
        <f>COUNTIFS('Quote Log'!$B:$B,"&lt;&gt;VOID",'Quote Log'!$B:$B,"&lt;&gt;Requoted",'Quote Log'!$C:$C,"&gt;="&amp;DATE(2024,5,1),'Quote Log'!$C:$C,"&lt;="&amp;DATE(2024,5,31),'Quote Log'!$AK:$AK,"=Phone Call")</f>
        <v>0</v>
      </c>
      <c r="AC42">
        <f>COUNTIFS('Quote Log'!$B:$B,"&lt;&gt;VOID",'Quote Log'!$B:$B,"&lt;&gt;Requoted",'Quote Log'!$C:$C,"&gt;="&amp;DATE(2024,5,1),'Quote Log'!$C:$C,"&lt;="&amp;DATE(2024,5,31),'Quote Log'!$AK:$AK,"=Trade Show")</f>
        <v>0</v>
      </c>
      <c r="AD42">
        <f>COUNTIFS('Quote Log'!$B:$B,"&lt;&gt;VOID",'Quote Log'!$B:$B,"&lt;&gt;Requoted",'Quote Log'!$C:$C,"&gt;="&amp;DATE(2024,5,1),'Quote Log'!$C:$C,"&lt;="&amp;DATE(2024,5,31),'Quote Log'!$AK:$AK,"=Referral")</f>
        <v>0</v>
      </c>
      <c r="AE42" s="350">
        <f t="shared" si="58"/>
        <v>0</v>
      </c>
      <c r="AF42">
        <f>COUNTIFS('Quote Log'!$B:$B,"&lt;&gt;VOID",'Quote Log'!$B:$B,"&lt;&gt;",'Quote Log'!$B:$B,"&lt;&gt;Cathy",'Quote Log'!$B:$B,"&lt;&gt;Larry",'Quote Log'!$B:$B,"&lt;&gt;LOST",'Quote Log'!$B:$B,"&lt;&gt;Purchased",'Quote Log'!$B:$B,"&lt;&gt;Max",'Quote Log'!$B:$B,"&lt;&gt;Quote Sent",'Quote Log'!$B:$B,"&lt;&gt;ISSUE",'Quote Log'!$B:$B,"&lt;&gt;Requoted",'Quote Log'!$C:$C,"&gt;="&amp;DATE(2024,5,1),'Quote Log'!$C:$C,"&lt;="&amp;DATE(2024,5,31))</f>
        <v>0</v>
      </c>
      <c r="AG42" s="350">
        <f t="shared" si="59"/>
        <v>0</v>
      </c>
      <c r="AH42" s="358">
        <f>SUMIFS('Quote Log'!$AB:$AB,'Quote Log'!$B:$B,"=Quote Sent",'Quote Log'!$C:$C,"&gt;="&amp;DATE(2024,5,1),'Quote Log'!$C:$C,"&lt;="&amp;DATE(2024,5,31),'Quote Log'!$AB:$AB,"&lt;&gt;#VALUE!")</f>
        <v>0</v>
      </c>
      <c r="AI42" s="358">
        <f t="shared" si="60"/>
        <v>0</v>
      </c>
      <c r="AJ42" s="358">
        <f>SUMIFS('Quote Log'!$AB:$AB,'Quote Log'!$B:$B,"=LOST",'Quote Log'!$C:$C,"&gt;="&amp;DATE(2024,5,1),'Quote Log'!$C:$C,"&lt;="&amp;DATE(2024,5,31),'Quote Log'!$AB:$AB,"&lt;&gt;#VALUE!")</f>
        <v>0</v>
      </c>
      <c r="AK42" s="358">
        <f t="shared" si="61"/>
        <v>0</v>
      </c>
      <c r="AM42" s="339"/>
    </row>
    <row r="43" spans="1:39" x14ac:dyDescent="0.25">
      <c r="A43" s="338">
        <v>45444</v>
      </c>
      <c r="B43">
        <f>COUNTIFS('Quote Log'!$B:$B,"&lt;&gt;VOID",'Quote Log'!$B:$B,"&lt;&gt;Requoted",'Quote Log'!$C:$C,"&gt;="&amp;DATE(2024,6,1),'Quote Log'!$C:$C,"&lt;="&amp;DATE(2024,6,30))</f>
        <v>0</v>
      </c>
      <c r="C43">
        <f t="shared" si="48"/>
        <v>0</v>
      </c>
      <c r="D43">
        <f>COUNTIFS('Quote Log'!$B:$B,"&lt;&gt;VOID",'Quote Log'!$B:$B,"&lt;&gt;Requoted",'Quote Log'!$H:$H,"&gt;="&amp;DATE(2024,6,1),'Quote Log'!$H:$H,"&lt;="&amp;DATE(2024,6,30))</f>
        <v>0</v>
      </c>
      <c r="E43">
        <f t="shared" si="49"/>
        <v>0</v>
      </c>
      <c r="F43">
        <f t="shared" si="50"/>
        <v>0</v>
      </c>
      <c r="G43">
        <f>COUNTIFS('Quote Log'!$C:$C,"&gt;="&amp;DATE(2024,6,1),'Quote Log'!$C:$C,"&lt;="&amp;DATE(2024,6,30),'Quote Log'!$B:$B,"=Purchased")</f>
        <v>0</v>
      </c>
      <c r="H43" s="350">
        <f t="shared" si="51"/>
        <v>0</v>
      </c>
      <c r="I43" s="349" t="e">
        <f t="shared" si="4"/>
        <v>#DIV/0!</v>
      </c>
      <c r="J43" s="349" t="e">
        <f t="shared" si="52"/>
        <v>#DIV/0!</v>
      </c>
      <c r="K43">
        <f>COUNTIFS('Quote Log'!$C:$C,"&gt;="&amp;DATE(2024,6,1),'Quote Log'!$C:$C,"&lt;="&amp;DATE(2024,6,30),'Quote Log'!$B:$B,"=LOST")</f>
        <v>0</v>
      </c>
      <c r="L43">
        <f>COUNTIFS('Quote Log'!$B:$B,"&lt;&gt;VOID",'Quote Log'!$B:$B,"&lt;&gt;Requoted",'Quote Log'!$C:$C,"&gt;="&amp;DATE(2024,6,1),'Quote Log'!$C:$C,"&lt;="&amp;DATE(2024,6,30),'Quote Log'!$V:$V,"=new")</f>
        <v>0</v>
      </c>
      <c r="M43" s="349" t="e">
        <f t="shared" si="6"/>
        <v>#DIV/0!</v>
      </c>
      <c r="N43" s="339" t="e">
        <f t="shared" si="53"/>
        <v>#DIV/0!</v>
      </c>
      <c r="O43" s="358">
        <f>SUMIFS('Quote Log'!$AB:$AB,'Quote Log'!$C:$C,"&gt;="&amp;DATE(2024,6,1),'Quote Log'!$C:$C,"&lt;="&amp;DATE(2024,6,30),'Quote Log'!$B:$B,"=Purchased",'Quote Log'!$AB:$AB,"&lt;&gt;#VALUE!")</f>
        <v>0</v>
      </c>
      <c r="P43" s="358">
        <f t="shared" si="54"/>
        <v>0</v>
      </c>
      <c r="Q43" s="349" t="e">
        <f t="shared" si="24"/>
        <v>#DIV/0!</v>
      </c>
      <c r="R43" s="349" t="e">
        <f t="shared" si="55"/>
        <v>#DIV/0!</v>
      </c>
      <c r="S43" s="358">
        <f>SUMIFS('Quote Log'!$AB:$AB,'Quote Log'!$C:$C,"&gt;="&amp;DATE(2024,6,1),'Quote Log'!$C:$C,"&lt;="&amp;DATE(2024,6,30),'Quote Log'!$B:$B,"=Purchased",'Quote Log'!$AB:$AB,"&lt;&gt;#VALUE!")+S42</f>
        <v>0</v>
      </c>
      <c r="T43" s="358">
        <f t="shared" si="56"/>
        <v>0</v>
      </c>
      <c r="U43" s="349" t="e">
        <f t="shared" si="27"/>
        <v>#DIV/0!</v>
      </c>
      <c r="V43" s="349" t="e">
        <f t="shared" si="57"/>
        <v>#DIV/0!</v>
      </c>
      <c r="W43">
        <f>COUNTIFS('Quote Log'!$B:$B,"&lt;&gt;VOID",'Quote Log'!$B:$B,"&lt;&gt;Requoted",'Quote Log'!$C:$C,"&gt;="&amp;DATE(2024,6,1),'Quote Log'!$C:$C,"&lt;="&amp;DATE(2024,6,30),'Quote Log'!$AK:$AK,"=Web Unknown")</f>
        <v>0</v>
      </c>
      <c r="X43">
        <f>COUNTIFS('Quote Log'!$B:$B,"&lt;&gt;VOID",'Quote Log'!$B:$B,"&lt;&gt;Requoted",'Quote Log'!$C:$C,"&gt;="&amp;DATE(2024,6,1),'Quote Log'!$C:$C,"&lt;="&amp;DATE(2024,6,30),'Quote Log'!$AK:$AK,"=Google")</f>
        <v>0</v>
      </c>
      <c r="Y43">
        <f>COUNTIFS('Quote Log'!$B:$B,"&lt;&gt;VOID",'Quote Log'!$B:$B,"&lt;&gt;Requoted",'Quote Log'!$C:$C,"&gt;="&amp;DATE(2024,6,1),'Quote Log'!$C:$C,"&lt;="&amp;DATE(2024,6,30),'Quote Log'!$AK:$AK,"=Linked-In")</f>
        <v>0</v>
      </c>
      <c r="Z43">
        <f>COUNTIFS('Quote Log'!$B:$B,"&lt;&gt;VOID",'Quote Log'!$B:$B,"&lt;&gt;Requoted",'Quote Log'!$C:$C,"&gt;="&amp;DATE(2024,6,1),'Quote Log'!$C:$C,"&lt;="&amp;DATE(2024,6,30),'Quote Log'!$AK:$AK,"=Thomasnet")</f>
        <v>0</v>
      </c>
      <c r="AA43">
        <f t="shared" si="47"/>
        <v>0</v>
      </c>
      <c r="AB43">
        <f>COUNTIFS('Quote Log'!$B:$B,"&lt;&gt;VOID",'Quote Log'!$B:$B,"&lt;&gt;Requoted",'Quote Log'!$C:$C,"&gt;="&amp;DATE(2024,6,1),'Quote Log'!$C:$C,"&lt;="&amp;DATE(2024,6,30),'Quote Log'!$AK:$AK,"=Phone Call")</f>
        <v>0</v>
      </c>
      <c r="AC43">
        <f>COUNTIFS('Quote Log'!$B:$B,"&lt;&gt;VOID",'Quote Log'!$B:$B,"&lt;&gt;Requoted",'Quote Log'!$C:$C,"&gt;="&amp;DATE(2024,6,1),'Quote Log'!$C:$C,"&lt;="&amp;DATE(2024,6,30),'Quote Log'!$AK:$AK,"=Trade Show")</f>
        <v>0</v>
      </c>
      <c r="AD43">
        <f>COUNTIFS('Quote Log'!$B:$B,"&lt;&gt;VOID",'Quote Log'!$B:$B,"&lt;&gt;Requoted",'Quote Log'!$C:$C,"&gt;="&amp;DATE(2024,6,1),'Quote Log'!$C:$C,"&lt;="&amp;DATE(2024,6,30),'Quote Log'!$AK:$AK,"=Referral")</f>
        <v>0</v>
      </c>
      <c r="AE43" s="350">
        <f t="shared" si="58"/>
        <v>0</v>
      </c>
      <c r="AF43">
        <f>COUNTIFS('Quote Log'!$B:$B,"&lt;&gt;VOID",'Quote Log'!$B:$B,"&lt;&gt;",'Quote Log'!$B:$B,"&lt;&gt;Cathy",'Quote Log'!$B:$B,"&lt;&gt;Larry",'Quote Log'!$B:$B,"&lt;&gt;LOST",'Quote Log'!$B:$B,"&lt;&gt;Purchased",'Quote Log'!$B:$B,"&lt;&gt;Max",'Quote Log'!$B:$B,"&lt;&gt;Quote Sent",'Quote Log'!$B:$B,"&lt;&gt;ISSUE",'Quote Log'!$B:$B,"&lt;&gt;Requoted",'Quote Log'!$C:$C,"&gt;="&amp;DATE(2024,6,1),'Quote Log'!$C:$C,"&lt;="&amp;DATE(2024,6,30))</f>
        <v>0</v>
      </c>
      <c r="AG43" s="350">
        <f t="shared" si="59"/>
        <v>0</v>
      </c>
      <c r="AH43" s="358">
        <f>SUMIFS('Quote Log'!$AB:$AB,'Quote Log'!$B:$B,"=Quote Sent",'Quote Log'!$C:$C,"&gt;="&amp;DATE(2024,6,1),'Quote Log'!$C:$C,"&lt;="&amp;DATE(2024,6,30),'Quote Log'!$AB:$AB,"&lt;&gt;#VALUE!")</f>
        <v>0</v>
      </c>
      <c r="AI43" s="358">
        <f t="shared" si="60"/>
        <v>0</v>
      </c>
      <c r="AJ43" s="358">
        <f>SUMIFS('Quote Log'!$AB:$AB,'Quote Log'!$B:$B,"=LOST",'Quote Log'!$C:$C,"&gt;="&amp;DATE(2024,6,1),'Quote Log'!$C:$C,"&lt;="&amp;DATE(2024,6,30),'Quote Log'!$AB:$AB,"&lt;&gt;#VALUE!")</f>
        <v>0</v>
      </c>
      <c r="AK43" s="358">
        <f t="shared" si="61"/>
        <v>0</v>
      </c>
      <c r="AM43" s="339"/>
    </row>
    <row r="44" spans="1:39" x14ac:dyDescent="0.25">
      <c r="A44" s="338">
        <v>45474</v>
      </c>
      <c r="B44">
        <f>COUNTIFS('Quote Log'!$B:$B,"&lt;&gt;VOID",'Quote Log'!$B:$B,"&lt;&gt;Requoted",'Quote Log'!$C:$C,"&gt;="&amp;DATE(2024,7,1),'Quote Log'!$C:$C,"&lt;="&amp;DATE(2024,7,31))</f>
        <v>0</v>
      </c>
      <c r="C44">
        <f t="shared" si="48"/>
        <v>0</v>
      </c>
      <c r="D44">
        <f>COUNTIFS('Quote Log'!$B:$B,"&lt;&gt;VOID",'Quote Log'!$B:$B,"&lt;&gt;Requoted",'Quote Log'!$H:$H,"&gt;="&amp;DATE(2024,7,1),'Quote Log'!$H:$H,"&lt;="&amp;DATE(2024,7,31))</f>
        <v>0</v>
      </c>
      <c r="E44">
        <f t="shared" si="49"/>
        <v>0</v>
      </c>
      <c r="F44">
        <f t="shared" si="50"/>
        <v>0</v>
      </c>
      <c r="G44">
        <f>COUNTIFS('Quote Log'!$C:$C,"&gt;="&amp;DATE(2024,7,1),'Quote Log'!$C:$C,"&lt;="&amp;DATE(2024,7,31),'Quote Log'!$B:$B,"=Purchased")</f>
        <v>0</v>
      </c>
      <c r="H44" s="350">
        <f t="shared" si="51"/>
        <v>0</v>
      </c>
      <c r="I44" s="349" t="e">
        <f t="shared" si="4"/>
        <v>#DIV/0!</v>
      </c>
      <c r="J44" s="349" t="e">
        <f t="shared" si="52"/>
        <v>#DIV/0!</v>
      </c>
      <c r="K44">
        <f>COUNTIFS('Quote Log'!$C:$C,"&gt;="&amp;DATE(2024,7,1),'Quote Log'!$C:$C,"&lt;="&amp;DATE(2024,7,31),'Quote Log'!$B:$B,"=LOST")</f>
        <v>0</v>
      </c>
      <c r="L44">
        <f>COUNTIFS('Quote Log'!$B:$B,"&lt;&gt;VOID",'Quote Log'!$B:$B,"&lt;&gt;Requoted",'Quote Log'!$C:$C,"&gt;="&amp;DATE(2024,7,1),'Quote Log'!$C:$C,"&lt;="&amp;DATE(2024,7,31),'Quote Log'!$V:$V,"=new")</f>
        <v>0</v>
      </c>
      <c r="M44" s="349" t="e">
        <f t="shared" si="6"/>
        <v>#DIV/0!</v>
      </c>
      <c r="N44" s="339" t="e">
        <f t="shared" si="53"/>
        <v>#DIV/0!</v>
      </c>
      <c r="O44" s="358">
        <f>SUMIFS('Quote Log'!$AB:$AB,'Quote Log'!$C:$C,"&gt;="&amp;DATE(2024,7,1),'Quote Log'!$C:$C,"&lt;="&amp;DATE(2024,7,31),'Quote Log'!$B:$B,"=Purchased",'Quote Log'!$AB:$AB,"&lt;&gt;#VALUE!")</f>
        <v>0</v>
      </c>
      <c r="P44" s="358">
        <f t="shared" si="54"/>
        <v>0</v>
      </c>
      <c r="Q44" s="349" t="e">
        <f t="shared" si="24"/>
        <v>#DIV/0!</v>
      </c>
      <c r="R44" s="349" t="e">
        <f t="shared" si="55"/>
        <v>#DIV/0!</v>
      </c>
      <c r="S44" s="358">
        <f>SUMIFS('Quote Log'!$AB:$AB,'Quote Log'!$C:$C,"&gt;="&amp;DATE(2024,7,1),'Quote Log'!$C:$C,"&lt;="&amp;DATE(2024,7,31),'Quote Log'!$B:$B,"=Purchased",'Quote Log'!$AB:$AB,"&lt;&gt;#VALUE!")+S43</f>
        <v>0</v>
      </c>
      <c r="T44" s="358">
        <f t="shared" si="56"/>
        <v>0</v>
      </c>
      <c r="U44" s="349" t="e">
        <f t="shared" si="27"/>
        <v>#DIV/0!</v>
      </c>
      <c r="V44" s="349" t="e">
        <f t="shared" si="57"/>
        <v>#DIV/0!</v>
      </c>
      <c r="W44">
        <f>COUNTIFS('Quote Log'!$B:$B,"&lt;&gt;VOID",'Quote Log'!$B:$B,"&lt;&gt;Requoted",'Quote Log'!$C:$C,"&gt;="&amp;DATE(2024,7,1),'Quote Log'!$C:$C,"&lt;="&amp;DATE(2024,7,31),'Quote Log'!$AK:$AK,"=Web Unknown")</f>
        <v>0</v>
      </c>
      <c r="X44">
        <f>COUNTIFS('Quote Log'!$B:$B,"&lt;&gt;VOID",'Quote Log'!$B:$B,"&lt;&gt;Requoted",'Quote Log'!$C:$C,"&gt;="&amp;DATE(2024,7,1),'Quote Log'!$C:$C,"&lt;="&amp;DATE(2024,7,31),'Quote Log'!$AK:$AK,"=Google")</f>
        <v>0</v>
      </c>
      <c r="Y44">
        <f>COUNTIFS('Quote Log'!$B:$B,"&lt;&gt;VOID",'Quote Log'!$B:$B,"&lt;&gt;Requoted",'Quote Log'!$C:$C,"&gt;="&amp;DATE(2024,7,1),'Quote Log'!$C:$C,"&lt;="&amp;DATE(2024,7,31),'Quote Log'!$AK:$AK,"=Linked-In")</f>
        <v>0</v>
      </c>
      <c r="Z44">
        <f>COUNTIFS('Quote Log'!$B:$B,"&lt;&gt;VOID",'Quote Log'!$B:$B,"&lt;&gt;Requoted",'Quote Log'!$C:$C,"&gt;="&amp;DATE(2024,7,1),'Quote Log'!$C:$C,"&lt;="&amp;DATE(2024,7,31),'Quote Log'!$AK:$AK,"=Thomasnet")</f>
        <v>0</v>
      </c>
      <c r="AA44">
        <f t="shared" si="47"/>
        <v>0</v>
      </c>
      <c r="AB44">
        <f>COUNTIFS('Quote Log'!$B:$B,"&lt;&gt;VOID",'Quote Log'!$B:$B,"&lt;&gt;Requoted",'Quote Log'!$C:$C,"&gt;="&amp;DATE(2024,7,1),'Quote Log'!$C:$C,"&lt;="&amp;DATE(2024,7,31),'Quote Log'!$AK:$AK,"=Phone Call")</f>
        <v>0</v>
      </c>
      <c r="AC44">
        <f>COUNTIFS('Quote Log'!$B:$B,"&lt;&gt;VOID",'Quote Log'!$B:$B,"&lt;&gt;Requoted",'Quote Log'!$C:$C,"&gt;="&amp;DATE(2024,7,1),'Quote Log'!$C:$C,"&lt;="&amp;DATE(2024,7,31),'Quote Log'!$AK:$AK,"=Trade Show")</f>
        <v>0</v>
      </c>
      <c r="AD44">
        <f>COUNTIFS('Quote Log'!$B:$B,"&lt;&gt;VOID",'Quote Log'!$B:$B,"&lt;&gt;Requoted",'Quote Log'!$C:$C,"&gt;="&amp;DATE(2024,7,1),'Quote Log'!$C:$C,"&lt;="&amp;DATE(2024,7,31),'Quote Log'!$AK:$AK,"=Referral")</f>
        <v>0</v>
      </c>
      <c r="AE44" s="350">
        <f t="shared" si="58"/>
        <v>0</v>
      </c>
      <c r="AF44">
        <f>COUNTIFS('Quote Log'!$B:$B,"&lt;&gt;VOID",'Quote Log'!$B:$B,"&lt;&gt;",'Quote Log'!$B:$B,"&lt;&gt;Cathy",'Quote Log'!$B:$B,"&lt;&gt;Larry",'Quote Log'!$B:$B,"&lt;&gt;LOST",'Quote Log'!$B:$B,"&lt;&gt;Purchased",'Quote Log'!$B:$B,"&lt;&gt;Max",'Quote Log'!$B:$B,"&lt;&gt;Quote Sent",'Quote Log'!$B:$B,"&lt;&gt;ISSUE",'Quote Log'!$B:$B,"&lt;&gt;Requoted",'Quote Log'!$C:$C,"&gt;="&amp;DATE(2024,7,1),'Quote Log'!$C:$C,"&lt;="&amp;DATE(2024,7,31))</f>
        <v>0</v>
      </c>
      <c r="AG44" s="350">
        <f t="shared" si="59"/>
        <v>0</v>
      </c>
      <c r="AH44" s="358">
        <f>SUMIFS('Quote Log'!$AB:$AB,'Quote Log'!$B:$B,"=Quote Sent",'Quote Log'!$C:$C,"&gt;="&amp;DATE(2024,7,1),'Quote Log'!$C:$C,"&lt;="&amp;DATE(2024,7,31),'Quote Log'!$AB:$AB,"&lt;&gt;#VALUE!")</f>
        <v>0</v>
      </c>
      <c r="AI44" s="358">
        <f t="shared" si="60"/>
        <v>0</v>
      </c>
      <c r="AJ44" s="358">
        <f>SUMIFS('Quote Log'!$AB:$AB,'Quote Log'!$B:$B,"=LOST",'Quote Log'!$C:$C,"&gt;="&amp;DATE(2024,7,1),'Quote Log'!$C:$C,"&lt;="&amp;DATE(2024,7,31),'Quote Log'!$AB:$AB,"&lt;&gt;#VALUE!")</f>
        <v>0</v>
      </c>
      <c r="AK44" s="358">
        <f t="shared" si="61"/>
        <v>0</v>
      </c>
      <c r="AM44" s="339"/>
    </row>
    <row r="45" spans="1:39" x14ac:dyDescent="0.25">
      <c r="A45" s="338">
        <v>45505</v>
      </c>
      <c r="B45">
        <f>COUNTIFS('Quote Log'!$B:$B,"&lt;&gt;VOID",'Quote Log'!$B:$B,"&lt;&gt;Requoted",'Quote Log'!$C:$C,"&gt;="&amp;DATE(2024,8,1),'Quote Log'!$C:$C,"&lt;="&amp;DATE(2024,8,31))</f>
        <v>0</v>
      </c>
      <c r="C45">
        <f t="shared" si="48"/>
        <v>0</v>
      </c>
      <c r="D45">
        <f>COUNTIFS('Quote Log'!$B:$B,"&lt;&gt;VOID",'Quote Log'!$B:$B,"&lt;&gt;Requoted",'Quote Log'!$H:$H,"&gt;="&amp;DATE(2024,8,1),'Quote Log'!$H:$H,"&lt;="&amp;DATE(2024,8,31))</f>
        <v>0</v>
      </c>
      <c r="E45">
        <f t="shared" si="49"/>
        <v>0</v>
      </c>
      <c r="F45">
        <f t="shared" si="50"/>
        <v>0</v>
      </c>
      <c r="G45">
        <f>COUNTIFS('Quote Log'!$C:$C,"&gt;="&amp;DATE(2024,8,1),'Quote Log'!$C:$C,"&lt;="&amp;DATE(2024,8,31),'Quote Log'!$B:$B,"=Purchased")</f>
        <v>0</v>
      </c>
      <c r="H45" s="350">
        <f t="shared" si="51"/>
        <v>0</v>
      </c>
      <c r="I45" s="349" t="e">
        <f t="shared" si="4"/>
        <v>#DIV/0!</v>
      </c>
      <c r="J45" s="349" t="e">
        <f t="shared" si="52"/>
        <v>#DIV/0!</v>
      </c>
      <c r="K45">
        <f>COUNTIFS('Quote Log'!$C:$C,"&gt;="&amp;DATE(2024,8,1),'Quote Log'!$C:$C,"&lt;="&amp;DATE(2024,8,31),'Quote Log'!$B:$B,"=LOST")</f>
        <v>0</v>
      </c>
      <c r="L45">
        <f>COUNTIFS('Quote Log'!$B:$B,"&lt;&gt;VOID",'Quote Log'!$B:$B,"&lt;&gt;Requoted",'Quote Log'!$C:$C,"&gt;="&amp;DATE(2024,8,1),'Quote Log'!$C:$C,"&lt;="&amp;DATE(2024,8,31),'Quote Log'!$V:$V,"=new")</f>
        <v>0</v>
      </c>
      <c r="M45" s="349" t="e">
        <f t="shared" si="6"/>
        <v>#DIV/0!</v>
      </c>
      <c r="N45" s="339" t="e">
        <f t="shared" si="53"/>
        <v>#DIV/0!</v>
      </c>
      <c r="O45" s="358">
        <f>SUMIFS('Quote Log'!$AB:$AB,'Quote Log'!$C:$C,"&gt;="&amp;DATE(2024,8,1),'Quote Log'!$C:$C,"&lt;="&amp;DATE(2024,8,31),'Quote Log'!$B:$B,"=Purchased",'Quote Log'!$AB:$AB,"&lt;&gt;#VALUE!")</f>
        <v>0</v>
      </c>
      <c r="P45" s="358">
        <f t="shared" si="54"/>
        <v>0</v>
      </c>
      <c r="Q45" s="349" t="e">
        <f t="shared" si="24"/>
        <v>#DIV/0!</v>
      </c>
      <c r="R45" s="349" t="e">
        <f t="shared" si="55"/>
        <v>#DIV/0!</v>
      </c>
      <c r="S45" s="358">
        <f>SUMIFS('Quote Log'!$AB:$AB,'Quote Log'!$C:$C,"&gt;="&amp;DATE(2024,8,1),'Quote Log'!$C:$C,"&lt;="&amp;DATE(2024,8,31),'Quote Log'!$B:$B,"=Purchased",'Quote Log'!$AB:$AB,"&lt;&gt;#VALUE!")+S44</f>
        <v>0</v>
      </c>
      <c r="T45" s="358">
        <f t="shared" si="56"/>
        <v>0</v>
      </c>
      <c r="U45" s="349" t="e">
        <f t="shared" si="27"/>
        <v>#DIV/0!</v>
      </c>
      <c r="V45" s="349" t="e">
        <f t="shared" si="57"/>
        <v>#DIV/0!</v>
      </c>
      <c r="W45">
        <f>COUNTIFS('Quote Log'!$B:$B,"&lt;&gt;VOID",'Quote Log'!$B:$B,"&lt;&gt;Requoted",'Quote Log'!$C:$C,"&gt;="&amp;DATE(2024,8,1),'Quote Log'!$C:$C,"&lt;="&amp;DATE(2024,8,31),'Quote Log'!$AK:$AK,"=Web Unknown")</f>
        <v>0</v>
      </c>
      <c r="X45">
        <f>COUNTIFS('Quote Log'!$B:$B,"&lt;&gt;VOID",'Quote Log'!$B:$B,"&lt;&gt;Requoted",'Quote Log'!$C:$C,"&gt;="&amp;DATE(2024,8,1),'Quote Log'!$C:$C,"&lt;="&amp;DATE(2024,8,31),'Quote Log'!$AK:$AK,"=Google")</f>
        <v>0</v>
      </c>
      <c r="Y45">
        <f>COUNTIFS('Quote Log'!$B:$B,"&lt;&gt;VOID",'Quote Log'!$B:$B,"&lt;&gt;Requoted",'Quote Log'!$C:$C,"&gt;="&amp;DATE(2024,8,1),'Quote Log'!$C:$C,"&lt;="&amp;DATE(2024,8,31),'Quote Log'!$AK:$AK,"=Linked-In")</f>
        <v>0</v>
      </c>
      <c r="Z45">
        <f>COUNTIFS('Quote Log'!$B:$B,"&lt;&gt;VOID",'Quote Log'!$B:$B,"&lt;&gt;Requoted",'Quote Log'!$C:$C,"&gt;="&amp;DATE(2024,8,1),'Quote Log'!$C:$C,"&lt;="&amp;DATE(2024,8,31),'Quote Log'!$AK:$AK,"=Thomasnet")</f>
        <v>0</v>
      </c>
      <c r="AA45">
        <f t="shared" si="47"/>
        <v>0</v>
      </c>
      <c r="AB45">
        <f>COUNTIFS('Quote Log'!$B:$B,"&lt;&gt;VOID",'Quote Log'!$B:$B,"&lt;&gt;Requoted",'Quote Log'!$C:$C,"&gt;="&amp;DATE(2024,8,1),'Quote Log'!$C:$C,"&lt;="&amp;DATE(2024,8,31),'Quote Log'!$AK:$AK,"=Phone Call")</f>
        <v>0</v>
      </c>
      <c r="AC45">
        <f>COUNTIFS('Quote Log'!$B:$B,"&lt;&gt;VOID",'Quote Log'!$B:$B,"&lt;&gt;Requoted",'Quote Log'!$C:$C,"&gt;="&amp;DATE(2024,8,1),'Quote Log'!$C:$C,"&lt;="&amp;DATE(2024,8,31),'Quote Log'!$AK:$AK,"=Trade Show")</f>
        <v>0</v>
      </c>
      <c r="AD45">
        <f>COUNTIFS('Quote Log'!$B:$B,"&lt;&gt;VOID",'Quote Log'!$B:$B,"&lt;&gt;Requoted",'Quote Log'!$C:$C,"&gt;="&amp;DATE(2024,8,1),'Quote Log'!$C:$C,"&lt;="&amp;DATE(2024,8,31),'Quote Log'!$AK:$AK,"=Referral")</f>
        <v>0</v>
      </c>
      <c r="AE45" s="350">
        <f t="shared" si="58"/>
        <v>0</v>
      </c>
      <c r="AF45">
        <f>COUNTIFS('Quote Log'!$B:$B,"&lt;&gt;VOID",'Quote Log'!$B:$B,"&lt;&gt;",'Quote Log'!$B:$B,"&lt;&gt;Cathy",'Quote Log'!$B:$B,"&lt;&gt;Larry",'Quote Log'!$B:$B,"&lt;&gt;LOST",'Quote Log'!$B:$B,"&lt;&gt;Purchased",'Quote Log'!$B:$B,"&lt;&gt;Max",'Quote Log'!$B:$B,"&lt;&gt;Quote Sent",'Quote Log'!$B:$B,"&lt;&gt;ISSUE",'Quote Log'!$B:$B,"&lt;&gt;Requoted",'Quote Log'!$C:$C,"&gt;="&amp;DATE(2024,8,1),'Quote Log'!$C:$C,"&lt;="&amp;DATE(2024,8,31))</f>
        <v>0</v>
      </c>
      <c r="AG45" s="350">
        <f t="shared" si="59"/>
        <v>0</v>
      </c>
      <c r="AH45" s="358">
        <f>SUMIFS('Quote Log'!$AB:$AB,'Quote Log'!$B:$B,"=Quote Sent",'Quote Log'!$C:$C,"&gt;="&amp;DATE(2024,8,1),'Quote Log'!$C:$C,"&lt;="&amp;DATE(2024,8,31),'Quote Log'!$AB:$AB,"&lt;&gt;#VALUE!")</f>
        <v>0</v>
      </c>
      <c r="AI45" s="358">
        <f t="shared" si="60"/>
        <v>0</v>
      </c>
      <c r="AJ45" s="358">
        <f>SUMIFS('Quote Log'!$AB:$AB,'Quote Log'!$B:$B,"=LOST",'Quote Log'!$C:$C,"&gt;="&amp;DATE(2024,8,1),'Quote Log'!$C:$C,"&lt;="&amp;DATE(2024,8,31),'Quote Log'!$AB:$AB,"&lt;&gt;#VALUE!")</f>
        <v>0</v>
      </c>
      <c r="AK45" s="358">
        <f t="shared" si="61"/>
        <v>0</v>
      </c>
      <c r="AM45" s="339"/>
    </row>
    <row r="46" spans="1:39" x14ac:dyDescent="0.25">
      <c r="A46" s="338">
        <v>45536</v>
      </c>
      <c r="B46">
        <f>COUNTIFS('Quote Log'!$B:$B,"&lt;&gt;VOID",'Quote Log'!$B:$B,"&lt;&gt;Requoted",'Quote Log'!$C:$C,"&gt;="&amp;DATE(2024,9,1),'Quote Log'!$C:$C,"&lt;="&amp;DATE(2024,9,30))</f>
        <v>0</v>
      </c>
      <c r="C46">
        <f t="shared" si="48"/>
        <v>0</v>
      </c>
      <c r="D46">
        <f>COUNTIFS('Quote Log'!$B:$B,"&lt;&gt;VOID",'Quote Log'!$B:$B,"&lt;&gt;Requoted",'Quote Log'!$H:$H,"&gt;="&amp;DATE(2024,9,1),'Quote Log'!$H:$H,"&lt;="&amp;DATE(2024,9,30))</f>
        <v>0</v>
      </c>
      <c r="E46">
        <f t="shared" si="49"/>
        <v>0</v>
      </c>
      <c r="F46">
        <f t="shared" si="50"/>
        <v>0</v>
      </c>
      <c r="G46">
        <f>COUNTIFS('Quote Log'!$C:$C,"&gt;="&amp;DATE(2024,9,1),'Quote Log'!$C:$C,"&lt;="&amp;DATE(2024,9,30),'Quote Log'!$B:$B,"=Purchased")</f>
        <v>0</v>
      </c>
      <c r="H46" s="350">
        <f t="shared" si="51"/>
        <v>0</v>
      </c>
      <c r="I46" s="349" t="e">
        <f t="shared" si="4"/>
        <v>#DIV/0!</v>
      </c>
      <c r="J46" s="349" t="e">
        <f t="shared" si="52"/>
        <v>#DIV/0!</v>
      </c>
      <c r="K46">
        <f>COUNTIFS('Quote Log'!$C:$C,"&gt;="&amp;DATE(2024,9,1),'Quote Log'!$C:$C,"&lt;="&amp;DATE(2024,9,30),'Quote Log'!$B:$B,"=LOST")</f>
        <v>0</v>
      </c>
      <c r="L46">
        <f>COUNTIFS('Quote Log'!$B:$B,"&lt;&gt;VOID",'Quote Log'!$B:$B,"&lt;&gt;Requoted",'Quote Log'!$C:$C,"&gt;="&amp;DATE(2024,9,1),'Quote Log'!$C:$C,"&lt;="&amp;DATE(2024,9,30),'Quote Log'!$V:$V,"=new")</f>
        <v>0</v>
      </c>
      <c r="M46" s="349" t="e">
        <f t="shared" si="6"/>
        <v>#DIV/0!</v>
      </c>
      <c r="N46" s="339" t="e">
        <f t="shared" si="53"/>
        <v>#DIV/0!</v>
      </c>
      <c r="O46" s="358">
        <f>SUMIFS('Quote Log'!$AB:$AB,'Quote Log'!$C:$C,"&gt;="&amp;DATE(2024,9,1),'Quote Log'!$C:$C,"&lt;="&amp;DATE(2024,9,30),'Quote Log'!$B:$B,"=Purchased",'Quote Log'!$AB:$AB,"&lt;&gt;#VALUE!")</f>
        <v>0</v>
      </c>
      <c r="P46" s="358">
        <f t="shared" si="54"/>
        <v>0</v>
      </c>
      <c r="Q46" s="349" t="e">
        <f t="shared" si="24"/>
        <v>#DIV/0!</v>
      </c>
      <c r="R46" s="349" t="e">
        <f t="shared" si="55"/>
        <v>#DIV/0!</v>
      </c>
      <c r="S46" s="358">
        <f>SUMIFS('Quote Log'!$AB:$AB,'Quote Log'!$C:$C,"&gt;="&amp;DATE(2024,9,1),'Quote Log'!$C:$C,"&lt;="&amp;DATE(2024,9,30),'Quote Log'!$B:$B,"=Purchased",'Quote Log'!$AB:$AB,"&lt;&gt;#VALUE!")+S45</f>
        <v>0</v>
      </c>
      <c r="T46" s="358">
        <f t="shared" si="56"/>
        <v>0</v>
      </c>
      <c r="U46" s="349" t="e">
        <f t="shared" si="27"/>
        <v>#DIV/0!</v>
      </c>
      <c r="V46" s="349" t="e">
        <f t="shared" si="57"/>
        <v>#DIV/0!</v>
      </c>
      <c r="W46">
        <f>COUNTIFS('Quote Log'!$B:$B,"&lt;&gt;VOID",'Quote Log'!$B:$B,"&lt;&gt;Requoted",'Quote Log'!$C:$C,"&gt;="&amp;DATE(2024,9,1),'Quote Log'!$C:$C,"&lt;="&amp;DATE(2024,9,30),'Quote Log'!$AK:$AK,"=Web Unknown")</f>
        <v>0</v>
      </c>
      <c r="X46">
        <f>COUNTIFS('Quote Log'!$B:$B,"&lt;&gt;VOID",'Quote Log'!$B:$B,"&lt;&gt;Requoted",'Quote Log'!$C:$C,"&gt;="&amp;DATE(2024,9,1),'Quote Log'!$C:$C,"&lt;="&amp;DATE(2024,9,30),'Quote Log'!$AK:$AK,"=Google")</f>
        <v>0</v>
      </c>
      <c r="Y46">
        <f>COUNTIFS('Quote Log'!$B:$B,"&lt;&gt;VOID",'Quote Log'!$B:$B,"&lt;&gt;Requoted",'Quote Log'!$C:$C,"&gt;="&amp;DATE(2024,9,1),'Quote Log'!$C:$C,"&lt;="&amp;DATE(2024,9,30),'Quote Log'!$AK:$AK,"=Linked-In")</f>
        <v>0</v>
      </c>
      <c r="Z46">
        <f>COUNTIFS('Quote Log'!$B:$B,"&lt;&gt;VOID",'Quote Log'!$B:$B,"&lt;&gt;Requoted",'Quote Log'!$C:$C,"&gt;="&amp;DATE(2024,9,1),'Quote Log'!$C:$C,"&lt;="&amp;DATE(2024,9,30),'Quote Log'!$AK:$AK,"=Thomasnet")</f>
        <v>0</v>
      </c>
      <c r="AA46">
        <f t="shared" si="47"/>
        <v>0</v>
      </c>
      <c r="AB46">
        <f>COUNTIFS('Quote Log'!$B:$B,"&lt;&gt;VOID",'Quote Log'!$B:$B,"&lt;&gt;Requoted",'Quote Log'!$C:$C,"&gt;="&amp;DATE(2024,9,1),'Quote Log'!$C:$C,"&lt;="&amp;DATE(2024,9,30),'Quote Log'!$AK:$AK,"=Phone Call")</f>
        <v>0</v>
      </c>
      <c r="AC46">
        <f>COUNTIFS('Quote Log'!$B:$B,"&lt;&gt;VOID",'Quote Log'!$B:$B,"&lt;&gt;Requoted",'Quote Log'!$C:$C,"&gt;="&amp;DATE(2024,9,1),'Quote Log'!$C:$C,"&lt;="&amp;DATE(2024,9,30),'Quote Log'!$AK:$AK,"=Trade Show")</f>
        <v>0</v>
      </c>
      <c r="AD46">
        <f>COUNTIFS('Quote Log'!$B:$B,"&lt;&gt;VOID",'Quote Log'!$B:$B,"&lt;&gt;Requoted",'Quote Log'!$C:$C,"&gt;="&amp;DATE(2024,9,1),'Quote Log'!$C:$C,"&lt;="&amp;DATE(2024,9,30),'Quote Log'!$AK:$AK,"=Referral")</f>
        <v>0</v>
      </c>
      <c r="AE46" s="350">
        <f t="shared" si="58"/>
        <v>0</v>
      </c>
      <c r="AF46">
        <f>COUNTIFS('Quote Log'!$B:$B,"&lt;&gt;VOID",'Quote Log'!$B:$B,"&lt;&gt;",'Quote Log'!$B:$B,"&lt;&gt;Cathy",'Quote Log'!$B:$B,"&lt;&gt;Larry",'Quote Log'!$B:$B,"&lt;&gt;LOST",'Quote Log'!$B:$B,"&lt;&gt;Purchased",'Quote Log'!$B:$B,"&lt;&gt;Max",'Quote Log'!$B:$B,"&lt;&gt;Quote Sent",'Quote Log'!$B:$B,"&lt;&gt;ISSUE",'Quote Log'!$B:$B,"&lt;&gt;Requoted",'Quote Log'!$C:$C,"&gt;="&amp;DATE(2024,9,1),'Quote Log'!$C:$C,"&lt;="&amp;DATE(2024,9,30))</f>
        <v>0</v>
      </c>
      <c r="AG46" s="350">
        <f t="shared" si="59"/>
        <v>0</v>
      </c>
      <c r="AH46" s="358">
        <f>SUMIFS('Quote Log'!$AB:$AB,'Quote Log'!$B:$B,"=Quote Sent",'Quote Log'!$C:$C,"&gt;="&amp;DATE(2024,9,1),'Quote Log'!$C:$C,"&lt;="&amp;DATE(2024,9,30),'Quote Log'!$AB:$AB,"&lt;&gt;#VALUE!")</f>
        <v>0</v>
      </c>
      <c r="AI46" s="358">
        <f t="shared" si="60"/>
        <v>0</v>
      </c>
      <c r="AJ46" s="358">
        <f>SUMIFS('Quote Log'!$AB:$AB,'Quote Log'!$B:$B,"=LOST",'Quote Log'!$C:$C,"&gt;="&amp;DATE(2024,9,1),'Quote Log'!$C:$C,"&lt;="&amp;DATE(2024,9,30),'Quote Log'!$AB:$AB,"&lt;&gt;#VALUE!")</f>
        <v>0</v>
      </c>
      <c r="AK46" s="358">
        <f t="shared" si="61"/>
        <v>0</v>
      </c>
      <c r="AM46" s="339"/>
    </row>
    <row r="47" spans="1:39" x14ac:dyDescent="0.25">
      <c r="A47" s="338">
        <v>45566</v>
      </c>
      <c r="B47">
        <f>COUNTIFS('Quote Log'!$B:$B,"&lt;&gt;VOID",'Quote Log'!$B:$B,"&lt;&gt;Requoted",'Quote Log'!$C:$C,"&gt;="&amp;DATE(2024,10,1),'Quote Log'!$C:$C,"&lt;="&amp;DATE(2024,10,31))</f>
        <v>0</v>
      </c>
      <c r="C47">
        <f t="shared" si="48"/>
        <v>0</v>
      </c>
      <c r="D47">
        <f>COUNTIFS('Quote Log'!$B:$B,"&lt;&gt;VOID",'Quote Log'!$B:$B,"&lt;&gt;Requoted",'Quote Log'!$H:$H,"&gt;="&amp;DATE(2024,10,1),'Quote Log'!$H:$H,"&lt;="&amp;DATE(2024,10,31))</f>
        <v>0</v>
      </c>
      <c r="E47">
        <f t="shared" si="49"/>
        <v>0</v>
      </c>
      <c r="F47">
        <f t="shared" si="50"/>
        <v>0</v>
      </c>
      <c r="G47">
        <f>COUNTIFS('Quote Log'!$C:$C,"&gt;="&amp;DATE(2024,10,1),'Quote Log'!$C:$C,"&lt;="&amp;DATE(2024,10,31),'Quote Log'!$B:$B,"=Purchased")</f>
        <v>0</v>
      </c>
      <c r="H47" s="350">
        <f t="shared" si="51"/>
        <v>0</v>
      </c>
      <c r="I47" s="349" t="e">
        <f t="shared" si="4"/>
        <v>#DIV/0!</v>
      </c>
      <c r="J47" s="349" t="e">
        <f t="shared" si="52"/>
        <v>#DIV/0!</v>
      </c>
      <c r="K47">
        <f>COUNTIFS('Quote Log'!$C:$C,"&gt;="&amp;DATE(2024,10,1),'Quote Log'!$C:$C,"&lt;="&amp;DATE(2024,10,31),'Quote Log'!$B:$B,"=LOST")</f>
        <v>0</v>
      </c>
      <c r="L47">
        <f>COUNTIFS('Quote Log'!$B:$B,"&lt;&gt;VOID",'Quote Log'!$B:$B,"&lt;&gt;Requoted",'Quote Log'!$C:$C,"&gt;="&amp;DATE(2024,10,1),'Quote Log'!$C:$C,"&lt;="&amp;DATE(2024,10,31),'Quote Log'!$V:$V,"=new")</f>
        <v>0</v>
      </c>
      <c r="M47" s="349" t="e">
        <f t="shared" si="6"/>
        <v>#DIV/0!</v>
      </c>
      <c r="N47" s="339" t="e">
        <f t="shared" si="53"/>
        <v>#DIV/0!</v>
      </c>
      <c r="O47" s="358">
        <f>SUMIFS('Quote Log'!$AB:$AB,'Quote Log'!$C:$C,"&gt;="&amp;DATE(2024,10,1),'Quote Log'!$C:$C,"&lt;="&amp;DATE(2024,10,31),'Quote Log'!$B:$B,"=Purchased",'Quote Log'!$AB:$AB,"&lt;&gt;#VALUE!")</f>
        <v>0</v>
      </c>
      <c r="P47" s="358">
        <f t="shared" si="54"/>
        <v>0</v>
      </c>
      <c r="Q47" s="349" t="e">
        <f t="shared" si="24"/>
        <v>#DIV/0!</v>
      </c>
      <c r="R47" s="349" t="e">
        <f t="shared" si="55"/>
        <v>#DIV/0!</v>
      </c>
      <c r="S47" s="358">
        <f>SUMIFS('Quote Log'!$AB:$AB,'Quote Log'!$C:$C,"&gt;="&amp;DATE(2024,10,1),'Quote Log'!$C:$C,"&lt;="&amp;DATE(2024,10,31),'Quote Log'!$B:$B,"=Purchased",'Quote Log'!$AB:$AB,"&lt;&gt;#VALUE!")+S46</f>
        <v>0</v>
      </c>
      <c r="T47" s="358">
        <f t="shared" si="56"/>
        <v>0</v>
      </c>
      <c r="U47" s="349" t="e">
        <f t="shared" si="27"/>
        <v>#DIV/0!</v>
      </c>
      <c r="V47" s="349" t="e">
        <f t="shared" si="57"/>
        <v>#DIV/0!</v>
      </c>
      <c r="W47">
        <f>COUNTIFS('Quote Log'!$B:$B,"&lt;&gt;VOID",'Quote Log'!$B:$B,"&lt;&gt;Requoted",'Quote Log'!$C:$C,"&gt;="&amp;DATE(2024,10,1),'Quote Log'!$C:$C,"&lt;="&amp;DATE(2024,10,31),'Quote Log'!$AK:$AK,"=Web Unknown")</f>
        <v>0</v>
      </c>
      <c r="X47">
        <f>COUNTIFS('Quote Log'!$B:$B,"&lt;&gt;VOID",'Quote Log'!$B:$B,"&lt;&gt;Requoted",'Quote Log'!$C:$C,"&gt;="&amp;DATE(2024,10,1),'Quote Log'!$C:$C,"&lt;="&amp;DATE(2024,10,31),'Quote Log'!$AK:$AK,"=Google")</f>
        <v>0</v>
      </c>
      <c r="Y47">
        <f>COUNTIFS('Quote Log'!$B:$B,"&lt;&gt;VOID",'Quote Log'!$B:$B,"&lt;&gt;Requoted",'Quote Log'!$C:$C,"&gt;="&amp;DATE(2024,10,1),'Quote Log'!$C:$C,"&lt;="&amp;DATE(2024,10,31),'Quote Log'!$AK:$AK,"=Linked-In")</f>
        <v>0</v>
      </c>
      <c r="Z47">
        <f>COUNTIFS('Quote Log'!$B:$B,"&lt;&gt;VOID",'Quote Log'!$B:$B,"&lt;&gt;Requoted",'Quote Log'!$C:$C,"&gt;="&amp;DATE(2024,10,1),'Quote Log'!$C:$C,"&lt;="&amp;DATE(2024,10,31),'Quote Log'!$AK:$AK,"=Thomasnet")</f>
        <v>0</v>
      </c>
      <c r="AA47">
        <f t="shared" si="47"/>
        <v>0</v>
      </c>
      <c r="AB47">
        <f>COUNTIFS('Quote Log'!$B:$B,"&lt;&gt;VOID",'Quote Log'!$B:$B,"&lt;&gt;Requoted",'Quote Log'!$C:$C,"&gt;="&amp;DATE(2024,10,1),'Quote Log'!$C:$C,"&lt;="&amp;DATE(2024,10,31),'Quote Log'!$AK:$AK,"=Phone Call")</f>
        <v>0</v>
      </c>
      <c r="AC47">
        <f>COUNTIFS('Quote Log'!$B:$B,"&lt;&gt;VOID",'Quote Log'!$B:$B,"&lt;&gt;Requoted",'Quote Log'!$C:$C,"&gt;="&amp;DATE(2024,10,1),'Quote Log'!$C:$C,"&lt;="&amp;DATE(2024,10,31),'Quote Log'!$AK:$AK,"=Trade Show")</f>
        <v>0</v>
      </c>
      <c r="AD47">
        <f>COUNTIFS('Quote Log'!$B:$B,"&lt;&gt;VOID",'Quote Log'!$B:$B,"&lt;&gt;Requoted",'Quote Log'!$C:$C,"&gt;="&amp;DATE(2024,10,1),'Quote Log'!$C:$C,"&lt;="&amp;DATE(2024,10,31),'Quote Log'!$AK:$AK,"=Referral")</f>
        <v>0</v>
      </c>
      <c r="AE47" s="350">
        <f t="shared" si="58"/>
        <v>0</v>
      </c>
      <c r="AF47">
        <f>COUNTIFS('Quote Log'!$B:$B,"&lt;&gt;VOID",'Quote Log'!$B:$B,"&lt;&gt;",'Quote Log'!$B:$B,"&lt;&gt;Cathy",'Quote Log'!$B:$B,"&lt;&gt;Larry",'Quote Log'!$B:$B,"&lt;&gt;LOST",'Quote Log'!$B:$B,"&lt;&gt;Purchased",'Quote Log'!$B:$B,"&lt;&gt;Max",'Quote Log'!$B:$B,"&lt;&gt;Quote Sent",'Quote Log'!$B:$B,"&lt;&gt;ISSUE",'Quote Log'!$B:$B,"&lt;&gt;Requoted",'Quote Log'!$C:$C,"&gt;="&amp;DATE(2024,10,1),'Quote Log'!$C:$C,"&lt;="&amp;DATE(2024,10,31))</f>
        <v>0</v>
      </c>
      <c r="AG47" s="350">
        <f t="shared" si="59"/>
        <v>0</v>
      </c>
      <c r="AH47" s="358">
        <f>SUMIFS('Quote Log'!$AB:$AB,'Quote Log'!$B:$B,"=Quote Sent",'Quote Log'!$C:$C,"&gt;="&amp;DATE(2024,10,1),'Quote Log'!$C:$C,"&lt;="&amp;DATE(2024,10,31),'Quote Log'!$AB:$AB,"&lt;&gt;#VALUE!")</f>
        <v>0</v>
      </c>
      <c r="AI47" s="358">
        <f t="shared" si="60"/>
        <v>0</v>
      </c>
      <c r="AJ47" s="358">
        <f>SUMIFS('Quote Log'!$AB:$AB,'Quote Log'!$B:$B,"=LOST",'Quote Log'!$C:$C,"&gt;="&amp;DATE(2024,10,1),'Quote Log'!$C:$C,"&lt;="&amp;DATE(2024,10,31),'Quote Log'!$AB:$AB,"&lt;&gt;#VALUE!")</f>
        <v>0</v>
      </c>
      <c r="AK47" s="358">
        <f t="shared" si="61"/>
        <v>0</v>
      </c>
      <c r="AM47" s="339"/>
    </row>
    <row r="48" spans="1:39" x14ac:dyDescent="0.25">
      <c r="A48" s="338">
        <v>45597</v>
      </c>
      <c r="B48">
        <f>COUNTIFS('Quote Log'!$B:$B,"&lt;&gt;VOID",'Quote Log'!$B:$B,"&lt;&gt;Requoted",'Quote Log'!$C:$C,"&gt;="&amp;DATE(2024,11,1),'Quote Log'!$C:$C,"&lt;="&amp;DATE(2024,11,31))</f>
        <v>0</v>
      </c>
      <c r="C48">
        <f t="shared" si="48"/>
        <v>0</v>
      </c>
      <c r="D48">
        <f>COUNTIFS('Quote Log'!$B:$B,"&lt;&gt;VOID",'Quote Log'!$B:$B,"&lt;&gt;Requoted",'Quote Log'!$H:$H,"&gt;="&amp;DATE(2024,11,1),'Quote Log'!$H:$H,"&lt;="&amp;DATE(2024,11,31))</f>
        <v>0</v>
      </c>
      <c r="E48">
        <f t="shared" si="49"/>
        <v>0</v>
      </c>
      <c r="F48">
        <f t="shared" si="50"/>
        <v>0</v>
      </c>
      <c r="G48">
        <f>COUNTIFS('Quote Log'!$C:$C,"&gt;="&amp;DATE(2024,11,1),'Quote Log'!$C:$C,"&lt;="&amp;DATE(2024,11,31),'Quote Log'!$B:$B,"=Purchased")</f>
        <v>0</v>
      </c>
      <c r="H48" s="350">
        <f t="shared" si="51"/>
        <v>0</v>
      </c>
      <c r="I48" s="349" t="e">
        <f t="shared" si="4"/>
        <v>#DIV/0!</v>
      </c>
      <c r="J48" s="349" t="e">
        <f t="shared" si="52"/>
        <v>#DIV/0!</v>
      </c>
      <c r="K48">
        <f>COUNTIFS('Quote Log'!$C:$C,"&gt;="&amp;DATE(2024,11,1),'Quote Log'!$C:$C,"&lt;="&amp;DATE(2024,11,31),'Quote Log'!$B:$B,"=LOST")</f>
        <v>0</v>
      </c>
      <c r="L48">
        <f>COUNTIFS('Quote Log'!$B:$B,"&lt;&gt;VOID",'Quote Log'!$B:$B,"&lt;&gt;Requoted",'Quote Log'!$C:$C,"&gt;="&amp;DATE(2024,11,1),'Quote Log'!$C:$C,"&lt;="&amp;DATE(2024,11,31),'Quote Log'!$V:$V,"=new")</f>
        <v>0</v>
      </c>
      <c r="M48" s="349" t="e">
        <f t="shared" si="6"/>
        <v>#DIV/0!</v>
      </c>
      <c r="N48" s="339" t="e">
        <f t="shared" si="53"/>
        <v>#DIV/0!</v>
      </c>
      <c r="O48" s="358">
        <f>SUMIFS('Quote Log'!$AB:$AB,'Quote Log'!$C:$C,"&gt;="&amp;DATE(2024,11,1),'Quote Log'!$C:$C,"&lt;="&amp;DATE(2024,11,31),'Quote Log'!$B:$B,"=Purchased",'Quote Log'!$AB:$AB,"&lt;&gt;#VALUE!")</f>
        <v>0</v>
      </c>
      <c r="P48" s="358">
        <f t="shared" si="54"/>
        <v>0</v>
      </c>
      <c r="Q48" s="349" t="e">
        <f t="shared" si="24"/>
        <v>#DIV/0!</v>
      </c>
      <c r="R48" s="349" t="e">
        <f t="shared" si="55"/>
        <v>#DIV/0!</v>
      </c>
      <c r="S48" s="358">
        <f>SUMIFS('Quote Log'!$AB:$AB,'Quote Log'!$C:$C,"&gt;="&amp;DATE(2024,11,1),'Quote Log'!$C:$C,"&lt;="&amp;DATE(2024,11,31),'Quote Log'!$B:$B,"=Purchased",'Quote Log'!$AB:$AB,"&lt;&gt;#VALUE!")+S47</f>
        <v>0</v>
      </c>
      <c r="T48" s="358">
        <f t="shared" si="56"/>
        <v>0</v>
      </c>
      <c r="U48" s="349" t="e">
        <f t="shared" si="27"/>
        <v>#DIV/0!</v>
      </c>
      <c r="V48" s="349" t="e">
        <f t="shared" si="57"/>
        <v>#DIV/0!</v>
      </c>
      <c r="W48">
        <f>COUNTIFS('Quote Log'!$B:$B,"&lt;&gt;VOID",'Quote Log'!$B:$B,"&lt;&gt;Requoted",'Quote Log'!$C:$C,"&gt;="&amp;DATE(2024,11,1),'Quote Log'!$C:$C,"&lt;="&amp;DATE(2024,11,31),'Quote Log'!$AK:$AK,"=Web Unknown")</f>
        <v>0</v>
      </c>
      <c r="X48">
        <f>COUNTIFS('Quote Log'!$B:$B,"&lt;&gt;VOID",'Quote Log'!$B:$B,"&lt;&gt;Requoted",'Quote Log'!$C:$C,"&gt;="&amp;DATE(2024,11,1),'Quote Log'!$C:$C,"&lt;="&amp;DATE(2024,11,31),'Quote Log'!$AK:$AK,"=Google")</f>
        <v>0</v>
      </c>
      <c r="Y48">
        <f>COUNTIFS('Quote Log'!$B:$B,"&lt;&gt;VOID",'Quote Log'!$B:$B,"&lt;&gt;Requoted",'Quote Log'!$C:$C,"&gt;="&amp;DATE(2024,11,1),'Quote Log'!$C:$C,"&lt;="&amp;DATE(2024,11,31),'Quote Log'!$AK:$AK,"=Linked-In")</f>
        <v>0</v>
      </c>
      <c r="Z48">
        <f>COUNTIFS('Quote Log'!$B:$B,"&lt;&gt;VOID",'Quote Log'!$B:$B,"&lt;&gt;Requoted",'Quote Log'!$C:$C,"&gt;="&amp;DATE(2024,11,1),'Quote Log'!$C:$C,"&lt;="&amp;DATE(2024,11,31),'Quote Log'!$AK:$AK,"=Thomasnet")</f>
        <v>0</v>
      </c>
      <c r="AA48">
        <f t="shared" si="47"/>
        <v>0</v>
      </c>
      <c r="AB48">
        <f>COUNTIFS('Quote Log'!$B:$B,"&lt;&gt;VOID",'Quote Log'!$B:$B,"&lt;&gt;Requoted",'Quote Log'!$C:$C,"&gt;="&amp;DATE(2024,11,1),'Quote Log'!$C:$C,"&lt;="&amp;DATE(2024,11,31),'Quote Log'!$AK:$AK,"=Phone Call")</f>
        <v>0</v>
      </c>
      <c r="AC48">
        <f>COUNTIFS('Quote Log'!$B:$B,"&lt;&gt;VOID",'Quote Log'!$B:$B,"&lt;&gt;Requoted",'Quote Log'!$C:$C,"&gt;="&amp;DATE(2024,11,1),'Quote Log'!$C:$C,"&lt;="&amp;DATE(2024,11,31),'Quote Log'!$AK:$AK,"=Trade Show")</f>
        <v>0</v>
      </c>
      <c r="AD48">
        <f>COUNTIFS('Quote Log'!$B:$B,"&lt;&gt;VOID",'Quote Log'!$B:$B,"&lt;&gt;Requoted",'Quote Log'!$C:$C,"&gt;="&amp;DATE(2024,11,1),'Quote Log'!$C:$C,"&lt;="&amp;DATE(2024,11,31),'Quote Log'!$AK:$AK,"=Referral")</f>
        <v>0</v>
      </c>
      <c r="AE48" s="350">
        <f t="shared" si="58"/>
        <v>0</v>
      </c>
      <c r="AF48">
        <f>COUNTIFS('Quote Log'!$B:$B,"&lt;&gt;VOID",'Quote Log'!$B:$B,"&lt;&gt;",'Quote Log'!$B:$B,"&lt;&gt;Cathy",'Quote Log'!$B:$B,"&lt;&gt;Larry",'Quote Log'!$B:$B,"&lt;&gt;LOST",'Quote Log'!$B:$B,"&lt;&gt;Purchased",'Quote Log'!$B:$B,"&lt;&gt;Max",'Quote Log'!$B:$B,"&lt;&gt;Quote Sent",'Quote Log'!$B:$B,"&lt;&gt;ISSUE",'Quote Log'!$B:$B,"&lt;&gt;Requoted",'Quote Log'!$C:$C,"&gt;="&amp;DATE(2024,11,1),'Quote Log'!$C:$C,"&lt;="&amp;DATE(2024,11,31))</f>
        <v>0</v>
      </c>
      <c r="AG48" s="350">
        <f t="shared" si="59"/>
        <v>0</v>
      </c>
      <c r="AH48" s="358">
        <f>SUMIFS('Quote Log'!$AB:$AB,'Quote Log'!$B:$B,"=Quote Sent",'Quote Log'!$C:$C,"&gt;="&amp;DATE(2024,11,1),'Quote Log'!$C:$C,"&lt;="&amp;DATE(2024,11,31),'Quote Log'!$AB:$AB,"&lt;&gt;#VALUE!")</f>
        <v>0</v>
      </c>
      <c r="AI48" s="358">
        <f t="shared" si="60"/>
        <v>0</v>
      </c>
      <c r="AJ48" s="358">
        <f>SUMIFS('Quote Log'!$AB:$AB,'Quote Log'!$B:$B,"=LOST",'Quote Log'!$C:$C,"&gt;="&amp;DATE(2024,11,1),'Quote Log'!$C:$C,"&lt;="&amp;DATE(2024,11,31),'Quote Log'!$AB:$AB,"&lt;&gt;#VALUE!")</f>
        <v>0</v>
      </c>
      <c r="AK48" s="358">
        <f t="shared" si="61"/>
        <v>0</v>
      </c>
      <c r="AM48" s="339"/>
    </row>
    <row r="49" spans="1:39" x14ac:dyDescent="0.25">
      <c r="A49" s="338">
        <v>45627</v>
      </c>
      <c r="B49">
        <f>COUNTIFS('Quote Log'!$B:$B,"&lt;&gt;VOID",'Quote Log'!$B:$B,"&lt;&gt;Requoted",'Quote Log'!$C:$C,"&gt;="&amp;DATE(2024,12,1),'Quote Log'!$C:$C,"&lt;="&amp;DATE(2024,12,31))</f>
        <v>0</v>
      </c>
      <c r="C49">
        <f t="shared" si="48"/>
        <v>0</v>
      </c>
      <c r="D49">
        <f>COUNTIFS('Quote Log'!$B:$B,"&lt;&gt;VOID",'Quote Log'!$B:$B,"&lt;&gt;Requoted",'Quote Log'!$H:$H,"&gt;="&amp;DATE(2024,12,1),'Quote Log'!$H:$H,"&lt;="&amp;DATE(2024,12,31))</f>
        <v>0</v>
      </c>
      <c r="E49">
        <f t="shared" si="49"/>
        <v>0</v>
      </c>
      <c r="F49">
        <f t="shared" si="50"/>
        <v>0</v>
      </c>
      <c r="G49">
        <f>COUNTIFS('Quote Log'!$C:$C,"&gt;="&amp;DATE(2024,12,1),'Quote Log'!$C:$C,"&lt;="&amp;DATE(2024,12,31),'Quote Log'!$B:$B,"=Purchased")</f>
        <v>0</v>
      </c>
      <c r="H49" s="350">
        <f t="shared" si="51"/>
        <v>0</v>
      </c>
      <c r="I49" s="349" t="e">
        <f t="shared" si="4"/>
        <v>#DIV/0!</v>
      </c>
      <c r="J49" s="349" t="e">
        <f t="shared" si="52"/>
        <v>#DIV/0!</v>
      </c>
      <c r="K49">
        <f>COUNTIFS('Quote Log'!$C:$C,"&gt;="&amp;DATE(2024,12,1),'Quote Log'!$C:$C,"&lt;="&amp;DATE(2024,12,31),'Quote Log'!$B:$B,"=LOST")</f>
        <v>0</v>
      </c>
      <c r="L49">
        <f>COUNTIFS('Quote Log'!$B:$B,"&lt;&gt;VOID",'Quote Log'!$B:$B,"&lt;&gt;Requoted",'Quote Log'!$C:$C,"&gt;="&amp;DATE(2024,12,1),'Quote Log'!$C:$C,"&lt;="&amp;DATE(2024,12,31),'Quote Log'!$V:$V,"=new")</f>
        <v>0</v>
      </c>
      <c r="M49" s="349" t="e">
        <f t="shared" si="6"/>
        <v>#DIV/0!</v>
      </c>
      <c r="N49" s="339" t="e">
        <f t="shared" si="53"/>
        <v>#DIV/0!</v>
      </c>
      <c r="O49" s="358">
        <f>SUMIFS('Quote Log'!$AB:$AB,'Quote Log'!$C:$C,"&gt;="&amp;DATE(2024,12,1),'Quote Log'!$C:$C,"&lt;="&amp;DATE(2024,12,31),'Quote Log'!$B:$B,"=Purchased",'Quote Log'!$AB:$AB,"&lt;&gt;#VALUE!")</f>
        <v>0</v>
      </c>
      <c r="P49" s="358">
        <f t="shared" si="54"/>
        <v>0</v>
      </c>
      <c r="Q49" s="349" t="e">
        <f t="shared" si="24"/>
        <v>#DIV/0!</v>
      </c>
      <c r="R49" s="349" t="e">
        <f t="shared" si="55"/>
        <v>#DIV/0!</v>
      </c>
      <c r="S49" s="358">
        <f>SUMIFS('Quote Log'!$AB:$AB,'Quote Log'!$C:$C,"&gt;="&amp;DATE(2024,12,1),'Quote Log'!$C:$C,"&lt;="&amp;DATE(2024,12,31),'Quote Log'!$B:$B,"=Purchased",'Quote Log'!$AB:$AB,"&lt;&gt;#VALUE!")+S48</f>
        <v>0</v>
      </c>
      <c r="T49" s="358">
        <f t="shared" si="56"/>
        <v>0</v>
      </c>
      <c r="U49" s="349" t="e">
        <f t="shared" si="27"/>
        <v>#DIV/0!</v>
      </c>
      <c r="V49" s="349" t="e">
        <f t="shared" si="57"/>
        <v>#DIV/0!</v>
      </c>
      <c r="W49">
        <f>COUNTIFS('Quote Log'!$B:$B,"&lt;&gt;VOID",'Quote Log'!$B:$B,"&lt;&gt;Requoted",'Quote Log'!$C:$C,"&gt;="&amp;DATE(2024,12,1),'Quote Log'!$C:$C,"&lt;="&amp;DATE(2024,12,31),'Quote Log'!$AK:$AK,"=Web Unknown")</f>
        <v>0</v>
      </c>
      <c r="X49">
        <f>COUNTIFS('Quote Log'!$B:$B,"&lt;&gt;VOID",'Quote Log'!$B:$B,"&lt;&gt;Requoted",'Quote Log'!$C:$C,"&gt;="&amp;DATE(2024,12,1),'Quote Log'!$C:$C,"&lt;="&amp;DATE(2024,12,31),'Quote Log'!$AK:$AK,"=Google")</f>
        <v>0</v>
      </c>
      <c r="Y49">
        <f>COUNTIFS('Quote Log'!$B:$B,"&lt;&gt;VOID",'Quote Log'!$B:$B,"&lt;&gt;Requoted",'Quote Log'!$C:$C,"&gt;="&amp;DATE(2024,12,1),'Quote Log'!$C:$C,"&lt;="&amp;DATE(2024,12,31),'Quote Log'!$AK:$AK,"=Linked-In")</f>
        <v>0</v>
      </c>
      <c r="Z49">
        <f>COUNTIFS('Quote Log'!$B:$B,"&lt;&gt;VOID",'Quote Log'!$B:$B,"&lt;&gt;Requoted",'Quote Log'!$C:$C,"&gt;="&amp;DATE(2024,12,1),'Quote Log'!$C:$C,"&lt;="&amp;DATE(2024,12,31),'Quote Log'!$AK:$AK,"=Thomasnet")</f>
        <v>0</v>
      </c>
      <c r="AA49">
        <f t="shared" si="47"/>
        <v>0</v>
      </c>
      <c r="AB49">
        <f>COUNTIFS('Quote Log'!$B:$B,"&lt;&gt;VOID",'Quote Log'!$B:$B,"&lt;&gt;Requoted",'Quote Log'!$C:$C,"&gt;="&amp;DATE(2024,12,1),'Quote Log'!$C:$C,"&lt;="&amp;DATE(2024,12,31),'Quote Log'!$AK:$AK,"=Phone Call")</f>
        <v>0</v>
      </c>
      <c r="AC49">
        <f>COUNTIFS('Quote Log'!$B:$B,"&lt;&gt;VOID",'Quote Log'!$B:$B,"&lt;&gt;Requoted",'Quote Log'!$C:$C,"&gt;="&amp;DATE(2024,12,1),'Quote Log'!$C:$C,"&lt;="&amp;DATE(2024,12,31),'Quote Log'!$AK:$AK,"=Trade Show")</f>
        <v>0</v>
      </c>
      <c r="AD49">
        <f>COUNTIFS('Quote Log'!$B:$B,"&lt;&gt;VOID",'Quote Log'!$B:$B,"&lt;&gt;Requoted",'Quote Log'!$C:$C,"&gt;="&amp;DATE(2024,12,1),'Quote Log'!$C:$C,"&lt;="&amp;DATE(2024,12,31),'Quote Log'!$AK:$AK,"=Referral")</f>
        <v>0</v>
      </c>
      <c r="AE49" s="350">
        <f t="shared" si="58"/>
        <v>0</v>
      </c>
      <c r="AF49">
        <f>COUNTIFS('Quote Log'!$B:$B,"&lt;&gt;VOID",'Quote Log'!$B:$B,"&lt;&gt;",'Quote Log'!$B:$B,"&lt;&gt;Cathy",'Quote Log'!$B:$B,"&lt;&gt;Larry",'Quote Log'!$B:$B,"&lt;&gt;LOST",'Quote Log'!$B:$B,"&lt;&gt;Purchased",'Quote Log'!$B:$B,"&lt;&gt;Max",'Quote Log'!$B:$B,"&lt;&gt;Quote Sent",'Quote Log'!$B:$B,"&lt;&gt;ISSUE",'Quote Log'!$B:$B,"&lt;&gt;Requoted",'Quote Log'!$C:$C,"&gt;="&amp;DATE(2024,12,1),'Quote Log'!$C:$C,"&lt;="&amp;DATE(2024,12,31))</f>
        <v>0</v>
      </c>
      <c r="AG49" s="350">
        <f t="shared" si="59"/>
        <v>0</v>
      </c>
      <c r="AH49" s="358">
        <f>SUMIFS('Quote Log'!$AB:$AB,'Quote Log'!$B:$B,"=Quote Sent",'Quote Log'!$C:$C,"&gt;="&amp;DATE(2024,12,1),'Quote Log'!$C:$C,"&lt;="&amp;DATE(2024,12,31),'Quote Log'!$AB:$AB,"&lt;&gt;#VALUE!")</f>
        <v>0</v>
      </c>
      <c r="AI49" s="358">
        <f t="shared" si="60"/>
        <v>0</v>
      </c>
      <c r="AJ49" s="358">
        <f>SUMIFS('Quote Log'!$AB:$AB,'Quote Log'!$B:$B,"=LOST",'Quote Log'!$C:$C,"&gt;="&amp;DATE(2024,12,1),'Quote Log'!$C:$C,"&lt;="&amp;DATE(2024,12,31),'Quote Log'!$AB:$AB,"&lt;&gt;#VALUE!")</f>
        <v>0</v>
      </c>
      <c r="AK49" s="358">
        <f t="shared" si="61"/>
        <v>0</v>
      </c>
      <c r="AM49" s="339"/>
    </row>
    <row r="50" spans="1:39" x14ac:dyDescent="0.25">
      <c r="A50" s="338">
        <v>45658</v>
      </c>
      <c r="B50">
        <f>COUNTIFS('Quote Log'!$B:$B,"&lt;&gt;VOID",'Quote Log'!$B:$B,"&lt;&gt;Requoted",'Quote Log'!$C:$C,"&gt;="&amp;DATE(2025,1,1),'Quote Log'!$C:$C,"&lt;="&amp;DATE(2025,1,31))</f>
        <v>0</v>
      </c>
      <c r="C50" t="e">
        <f>IF($AO$6,B50,NA())</f>
        <v>#N/A</v>
      </c>
      <c r="D50">
        <f>COUNTIFS('Quote Log'!$B:$B,"&lt;&gt;VOID",'Quote Log'!$B:$B,"&lt;&gt;Requoted",'Quote Log'!$H:$H,"&gt;="&amp;DATE(2025,1,1),'Quote Log'!$H:$H,"&lt;="&amp;DATE(2025,1,31))</f>
        <v>0</v>
      </c>
      <c r="E50" t="e">
        <f>IF($AO$6,D50,NA())</f>
        <v>#N/A</v>
      </c>
      <c r="F50">
        <f t="shared" si="50"/>
        <v>0</v>
      </c>
      <c r="G50">
        <f>COUNTIFS('Quote Log'!$C:$C,"&gt;="&amp;DATE(2025,1,1),'Quote Log'!$C:$C,"&lt;="&amp;DATE(2025,1,31),'Quote Log'!$B:$B,"=Purchased")</f>
        <v>0</v>
      </c>
      <c r="H50" s="350" t="e">
        <f>IF($AO$6,G50,NA())</f>
        <v>#N/A</v>
      </c>
      <c r="I50" s="349" t="e">
        <f t="shared" ref="I50" si="62">G50/B50</f>
        <v>#DIV/0!</v>
      </c>
      <c r="J50" s="349" t="e">
        <f>IF($AO$6,F50/B50,NA())</f>
        <v>#N/A</v>
      </c>
      <c r="K50">
        <f>COUNTIFS('Quote Log'!$C:$C,"&gt;="&amp;DATE(2025,1,1),'Quote Log'!$C:$C,"&lt;="&amp;DATE(2025,1,31),'Quote Log'!$B:$B,"=LOST")</f>
        <v>0</v>
      </c>
      <c r="L50">
        <f>COUNTIFS('Quote Log'!$B:$B,"&lt;&gt;VOID",'Quote Log'!$B:$B,"&lt;&gt;Requoted",'Quote Log'!$C:$C,"&gt;="&amp;DATE(2025,1,1),'Quote Log'!$C:$C,"&lt;="&amp;DATE(2025,1,31),'Quote Log'!$V:$V,"=new")</f>
        <v>0</v>
      </c>
      <c r="M50" s="349" t="e">
        <f t="shared" ref="M50" si="63">L50/B50</f>
        <v>#DIV/0!</v>
      </c>
      <c r="N50" s="339" t="e">
        <f>IF($AO$6,M50,NA())</f>
        <v>#N/A</v>
      </c>
      <c r="O50" s="358">
        <f>SUMIFS('Quote Log'!$AB:$AB,'Quote Log'!$C:$C,"&gt;="&amp;DATE(2025,1,1),'Quote Log'!$C:$C,"&lt;="&amp;DATE(2025,1,31),'Quote Log'!$B:$B,"=Purchased",'Quote Log'!$AB:$AB,"&lt;&gt;#VALUE!")</f>
        <v>0</v>
      </c>
      <c r="P50" s="358" t="e">
        <f>IF($AO$6,O50,NA())</f>
        <v>#N/A</v>
      </c>
      <c r="Q50" s="349" t="e">
        <f t="shared" si="24"/>
        <v>#DIV/0!</v>
      </c>
      <c r="R50" s="349" t="e">
        <f>IF($AO$6,Q50,NA())</f>
        <v>#N/A</v>
      </c>
      <c r="S50" s="358">
        <f>SUMIFS('Quote Log'!$AB:$AB,'Quote Log'!$C:$C,"&gt;="&amp;DATE(2025,1,1),'Quote Log'!$C:$C,"&lt;="&amp;DATE(2025,1,31),'Quote Log'!$B:$B,"=Purchased",'Quote Log'!$AB:$AB,"&lt;&gt;#VALUE!")</f>
        <v>0</v>
      </c>
      <c r="T50" s="358" t="e">
        <f>IF($AO$6,S50,NA())</f>
        <v>#N/A</v>
      </c>
      <c r="U50" s="349" t="e">
        <f t="shared" si="27"/>
        <v>#DIV/0!</v>
      </c>
      <c r="V50" s="349" t="e">
        <f>IF($AO$6,U50,NA())</f>
        <v>#N/A</v>
      </c>
      <c r="W50">
        <f>COUNTIFS('Quote Log'!$B:$B,"&lt;&gt;VOID",'Quote Log'!$B:$B,"&lt;&gt;Requoted",'Quote Log'!$C:$C,"&gt;="&amp;DATE(2025,1,1),'Quote Log'!$C:$C,"&lt;="&amp;DATE(2025,1,31),'Quote Log'!$AK:$AK,"=Web Unknown")</f>
        <v>0</v>
      </c>
      <c r="X50">
        <f>COUNTIFS('Quote Log'!$B:$B,"&lt;&gt;VOID",'Quote Log'!$B:$B,"&lt;&gt;Requoted",'Quote Log'!$C:$C,"&gt;="&amp;DATE(2025,1,1),'Quote Log'!$C:$C,"&lt;="&amp;DATE(2025,1,31),'Quote Log'!$AK:$AK,"=Google")</f>
        <v>0</v>
      </c>
      <c r="Y50">
        <f>COUNTIFS('Quote Log'!$B:$B,"&lt;&gt;VOID",'Quote Log'!$B:$B,"&lt;&gt;Requoted",'Quote Log'!$C:$C,"&gt;="&amp;DATE(2025,1,1),'Quote Log'!$C:$C,"&lt;="&amp;DATE(2025,1,31),'Quote Log'!$AK:$AK,"=Linked-In")</f>
        <v>0</v>
      </c>
      <c r="Z50">
        <f>COUNTIFS('Quote Log'!$B:$B,"&lt;&gt;VOID",'Quote Log'!$B:$B,"&lt;&gt;Requoted",'Quote Log'!$C:$C,"&gt;="&amp;DATE(2025,1,1),'Quote Log'!$C:$C,"&lt;="&amp;DATE(2025,1,31),'Quote Log'!$AK:$AK,"=Thomasnet")</f>
        <v>0</v>
      </c>
      <c r="AA50">
        <f t="shared" si="47"/>
        <v>0</v>
      </c>
      <c r="AB50">
        <f>COUNTIFS('Quote Log'!$B:$B,"&lt;&gt;VOID",'Quote Log'!$B:$B,"&lt;&gt;Requoted",'Quote Log'!$C:$C,"&gt;="&amp;DATE(2025,1,1),'Quote Log'!$C:$C,"&lt;="&amp;DATE(2025,1,31),'Quote Log'!$AK:$AK,"=Phone Call")</f>
        <v>0</v>
      </c>
      <c r="AC50">
        <f>COUNTIFS('Quote Log'!$B:$B,"&lt;&gt;VOID",'Quote Log'!$B:$B,"&lt;&gt;Requoted",'Quote Log'!$C:$C,"&gt;="&amp;DATE(2025,1,1),'Quote Log'!$C:$C,"&lt;="&amp;DATE(2025,1,31),'Quote Log'!$AK:$AK,"=Trade Show")</f>
        <v>0</v>
      </c>
      <c r="AD50">
        <f>COUNTIFS('Quote Log'!$B:$B,"&lt;&gt;VOID",'Quote Log'!$B:$B,"&lt;&gt;Requoted",'Quote Log'!$C:$C,"&gt;="&amp;DATE(2025,1,1),'Quote Log'!$C:$C,"&lt;="&amp;DATE(2025,1,31),'Quote Log'!$AK:$AK,"=Referral")</f>
        <v>0</v>
      </c>
      <c r="AE50" s="350" t="e">
        <f>IF($AO$6,W50,NA())</f>
        <v>#N/A</v>
      </c>
      <c r="AF50">
        <f>COUNTIFS('Quote Log'!$B:$B,"&lt;&gt;VOID",'Quote Log'!$B:$B,"&lt;&gt;",'Quote Log'!$B:$B,"&lt;&gt;Cathy",'Quote Log'!$B:$B,"&lt;&gt;Larry",'Quote Log'!$B:$B,"&lt;&gt;LOST",'Quote Log'!$B:$B,"&lt;&gt;Purchased",'Quote Log'!$B:$B,"&lt;&gt;Max",'Quote Log'!$B:$B,"&lt;&gt;Quote Sent",'Quote Log'!$B:$B,"&lt;&gt;ISSUE",'Quote Log'!$B:$B,"&lt;&gt;Requoted",'Quote Log'!$C:$C,"&gt;="&amp;DATE(2025,1,1),'Quote Log'!$C:$C,"&lt;="&amp;DATE(2025,1,31))</f>
        <v>0</v>
      </c>
      <c r="AG50" s="350" t="e">
        <f>IF($AO$6,AF50,NA())</f>
        <v>#N/A</v>
      </c>
      <c r="AH50" s="358">
        <f>SUMIFS('Quote Log'!$AB:$AB,'Quote Log'!$B:$B,"=Quote Sent",'Quote Log'!$C:$C,"&gt;="&amp;DATE(2025,1,1),'Quote Log'!$C:$C,"&lt;="&amp;DATE(2025,1,31),'Quote Log'!$AB:$AB,"&lt;&gt;#VALUE!")</f>
        <v>0</v>
      </c>
      <c r="AI50" s="358" t="e">
        <f>IF($AO$6,AH50,NA())</f>
        <v>#N/A</v>
      </c>
      <c r="AJ50" s="358">
        <f>SUMIFS('Quote Log'!$AB:$AB,'Quote Log'!$B:$B,"=LOST",'Quote Log'!$C:$C,"&gt;="&amp;DATE(2025,1,1),'Quote Log'!$C:$C,"&lt;="&amp;DATE(2025,1,31),'Quote Log'!$AB:$AB,"&lt;&gt;#VALUE!")</f>
        <v>0</v>
      </c>
      <c r="AK50" s="358" t="e">
        <f>IF($AO$6,AJ50,NA())</f>
        <v>#N/A</v>
      </c>
    </row>
    <row r="51" spans="1:39" x14ac:dyDescent="0.25">
      <c r="A51" s="338">
        <v>45689</v>
      </c>
      <c r="B51">
        <f>COUNTIFS('Quote Log'!$B:$B,"&lt;&gt;VOID",'Quote Log'!$B:$B,"&lt;&gt;Requoted",'Quote Log'!$C:$C,"&gt;="&amp;DATE(2025,2,1),'Quote Log'!$C:$C,"&lt;="&amp;DATE(2025,2,28))</f>
        <v>0</v>
      </c>
      <c r="C51" t="e">
        <f>IF($AO$6,B51,NA())</f>
        <v>#N/A</v>
      </c>
      <c r="D51">
        <f>COUNTIFS('Quote Log'!$B:$B,"&lt;&gt;VOID",'Quote Log'!$B:$B,"&lt;&gt;Requoted",'Quote Log'!$H:$H,"&gt;="&amp;DATE(2025,2,1),'Quote Log'!$H:$H,"&lt;="&amp;DATE(2025,2,28))</f>
        <v>0</v>
      </c>
      <c r="E51" t="e">
        <f>IF($AO$6,D51,NA())</f>
        <v>#N/A</v>
      </c>
      <c r="F51">
        <f t="shared" si="50"/>
        <v>0</v>
      </c>
      <c r="G51">
        <f>COUNTIFS('Quote Log'!$C:$C,"&gt;="&amp;DATE(2025,2,1),'Quote Log'!$C:$C,"&lt;="&amp;DATE(2025,2,28),'Quote Log'!$B:$B,"=Purchased")</f>
        <v>0</v>
      </c>
      <c r="H51" s="350" t="e">
        <f>IF($AO$6,G51,NA())</f>
        <v>#N/A</v>
      </c>
      <c r="I51" s="349" t="e">
        <f>G51/B51</f>
        <v>#DIV/0!</v>
      </c>
      <c r="J51" s="349" t="e">
        <f>IF($AO$6,F51/B51,NA())</f>
        <v>#N/A</v>
      </c>
      <c r="K51">
        <f>COUNTIFS('Quote Log'!$C:$C,"&gt;="&amp;DATE(2025,2,1),'Quote Log'!$C:$C,"&lt;="&amp;DATE(2025,2,28),'Quote Log'!$B:$B,"=LOST")</f>
        <v>0</v>
      </c>
      <c r="L51">
        <f>COUNTIFS('Quote Log'!$B:$B,"&lt;&gt;VOID",'Quote Log'!$B:$B,"&lt;&gt;Requoted",'Quote Log'!$C:$C,"&gt;="&amp;DATE(2025,2,1),'Quote Log'!$C:$C,"&lt;="&amp;DATE(2025,2,28),'Quote Log'!$V:$V,"=new")</f>
        <v>0</v>
      </c>
      <c r="M51" s="349" t="e">
        <f>L51/B51</f>
        <v>#DIV/0!</v>
      </c>
      <c r="N51" s="339" t="e">
        <f>IF($AO$6,M51,NA())</f>
        <v>#N/A</v>
      </c>
      <c r="O51" s="358">
        <f>SUMIFS('Quote Log'!$AB:$AB,'Quote Log'!$C:$C,"&gt;="&amp;DATE(2025,2,1),'Quote Log'!$C:$C,"&lt;="&amp;DATE(2025,2,28),'Quote Log'!$B:$B,"=Purchased",'Quote Log'!$AB:$AB,"&lt;&gt;#VALUE!")</f>
        <v>0</v>
      </c>
      <c r="P51" s="358" t="e">
        <f>IF($AO$6,O51,NA())</f>
        <v>#N/A</v>
      </c>
      <c r="Q51" s="349" t="e">
        <f>(O51-O39)/O39</f>
        <v>#DIV/0!</v>
      </c>
      <c r="R51" s="349" t="e">
        <f>IF($AO$6,Q51,NA())</f>
        <v>#N/A</v>
      </c>
      <c r="S51" s="358">
        <f>SUMIFS('Quote Log'!$AB:$AB,'Quote Log'!$C:$C,"&gt;="&amp;DATE(2025,2,1),'Quote Log'!$C:$C,"&lt;="&amp;DATE(2025,2,28),'Quote Log'!$B:$B,"=Purchased",'Quote Log'!$AB:$AB,"&lt;&gt;#VALUE!")+S50</f>
        <v>0</v>
      </c>
      <c r="T51" s="358" t="e">
        <f>IF($AO$6,S51,NA())</f>
        <v>#N/A</v>
      </c>
      <c r="U51" s="349" t="e">
        <f>(S51-S39)/S39</f>
        <v>#DIV/0!</v>
      </c>
      <c r="V51" s="349" t="e">
        <f>IF($AO$6,U51,NA())</f>
        <v>#N/A</v>
      </c>
      <c r="W51">
        <f>COUNTIFS('Quote Log'!$B:$B,"&lt;&gt;VOID",'Quote Log'!$B:$B,"&lt;&gt;Requoted",'Quote Log'!$C:$C,"&gt;="&amp;DATE(2025,2,1),'Quote Log'!$C:$C,"&lt;="&amp;DATE(2025,2,28),'Quote Log'!$AK:$AK,"=Web Unknown")</f>
        <v>0</v>
      </c>
      <c r="X51">
        <f>COUNTIFS('Quote Log'!$B:$B,"&lt;&gt;VOID",'Quote Log'!$B:$B,"&lt;&gt;Requoted",'Quote Log'!$C:$C,"&gt;="&amp;DATE(2025,2,1),'Quote Log'!$C:$C,"&lt;="&amp;DATE(2025,2,28),'Quote Log'!$AK:$AK,"=Google")</f>
        <v>0</v>
      </c>
      <c r="Y51">
        <f>COUNTIFS('Quote Log'!$B:$B,"&lt;&gt;VOID",'Quote Log'!$B:$B,"&lt;&gt;Requoted",'Quote Log'!$C:$C,"&gt;="&amp;DATE(2025,2,1),'Quote Log'!$C:$C,"&lt;="&amp;DATE(2025,2,28),'Quote Log'!$AK:$AK,"=Linked-In")</f>
        <v>0</v>
      </c>
      <c r="Z51">
        <f>COUNTIFS('Quote Log'!$B:$B,"&lt;&gt;VOID",'Quote Log'!$B:$B,"&lt;&gt;Requoted",'Quote Log'!$C:$C,"&gt;="&amp;DATE(2025,2,1),'Quote Log'!$C:$C,"&lt;="&amp;DATE(2025,2,28),'Quote Log'!$AK:$AK,"=Thomasnet")</f>
        <v>0</v>
      </c>
      <c r="AA51">
        <f t="shared" si="47"/>
        <v>0</v>
      </c>
      <c r="AB51">
        <f>COUNTIFS('Quote Log'!$B:$B,"&lt;&gt;VOID",'Quote Log'!$B:$B,"&lt;&gt;Requoted",'Quote Log'!$C:$C,"&gt;="&amp;DATE(2025,2,1),'Quote Log'!$C:$C,"&lt;="&amp;DATE(2025,2,28),'Quote Log'!$AK:$AK,"=Phone Call")</f>
        <v>0</v>
      </c>
      <c r="AC51">
        <f>COUNTIFS('Quote Log'!$B:$B,"&lt;&gt;VOID",'Quote Log'!$B:$B,"&lt;&gt;Requoted",'Quote Log'!$C:$C,"&gt;="&amp;DATE(2025,2,1),'Quote Log'!$C:$C,"&lt;="&amp;DATE(2025,2,28),'Quote Log'!$AK:$AK,"=Trade Show")</f>
        <v>0</v>
      </c>
      <c r="AD51">
        <f>COUNTIFS('Quote Log'!$B:$B,"&lt;&gt;VOID",'Quote Log'!$B:$B,"&lt;&gt;Requoted",'Quote Log'!$C:$C,"&gt;="&amp;DATE(2025,2,1),'Quote Log'!$C:$C,"&lt;="&amp;DATE(2025,2,28),'Quote Log'!$AK:$AK,"=Referral")</f>
        <v>0</v>
      </c>
      <c r="AE51" s="350" t="e">
        <f>IF($AO$6,W51,NA())</f>
        <v>#N/A</v>
      </c>
      <c r="AF51">
        <f>COUNTIFS('Quote Log'!$B:$B,"&lt;&gt;VOID",'Quote Log'!$B:$B,"&lt;&gt;",'Quote Log'!$B:$B,"&lt;&gt;Cathy",'Quote Log'!$B:$B,"&lt;&gt;Larry",'Quote Log'!$B:$B,"&lt;&gt;LOST",'Quote Log'!$B:$B,"&lt;&gt;Purchased",'Quote Log'!$B:$B,"&lt;&gt;Max",'Quote Log'!$B:$B,"&lt;&gt;Quote Sent",'Quote Log'!$B:$B,"&lt;&gt;ISSUE",'Quote Log'!$B:$B,"&lt;&gt;Requoted",'Quote Log'!$C:$C,"&gt;="&amp;DATE(2025,2,1),'Quote Log'!$C:$C,"&lt;="&amp;DATE(2025,2,28))</f>
        <v>0</v>
      </c>
      <c r="AG51" s="350" t="e">
        <f>IF($AO$6,AF51,NA())</f>
        <v>#N/A</v>
      </c>
      <c r="AH51" s="358">
        <f>SUMIFS('Quote Log'!$AB:$AB,'Quote Log'!$B:$B,"=Quote Sent",'Quote Log'!$C:$C,"&gt;="&amp;DATE(2025,2,1),'Quote Log'!$C:$C,"&lt;="&amp;DATE(2025,2,28),'Quote Log'!$AB:$AB,"&lt;&gt;#VALUE!")</f>
        <v>0</v>
      </c>
      <c r="AI51" s="358" t="e">
        <f>IF($AO$6,AH51,NA())</f>
        <v>#N/A</v>
      </c>
      <c r="AJ51" s="358">
        <f>SUMIFS('Quote Log'!$AB:$AB,'Quote Log'!$B:$B,"=LOST",'Quote Log'!$C:$C,"&gt;="&amp;DATE(2025,2,1),'Quote Log'!$C:$C,"&lt;="&amp;DATE(2025,2,28),'Quote Log'!$AB:$AB,"&lt;&gt;#VALUE!")</f>
        <v>0</v>
      </c>
      <c r="AK51" s="358" t="e">
        <f>IF($AO$6,AJ51,NA())</f>
        <v>#N/A</v>
      </c>
    </row>
    <row r="52" spans="1:39" x14ac:dyDescent="0.25">
      <c r="A52" s="338">
        <v>45717</v>
      </c>
      <c r="B52">
        <f>COUNTIFS('Quote Log'!$B:$B,"&lt;&gt;VOID",'Quote Log'!$B:$B,"&lt;&gt;Requoted",'Quote Log'!$C:$C,"&gt;="&amp;DATE(2025,3,1),'Quote Log'!$C:$C,"&lt;="&amp;DATE(2025,3,31))</f>
        <v>0</v>
      </c>
      <c r="C52" t="e">
        <f>IF($AO$6,B52,NA())</f>
        <v>#N/A</v>
      </c>
      <c r="D52">
        <f>COUNTIFS('Quote Log'!$B:$B,"&lt;&gt;VOID",'Quote Log'!$B:$B,"&lt;&gt;Requoted",'Quote Log'!$H:$H,"&gt;="&amp;DATE(2025,3,1),'Quote Log'!$H:$H,"&lt;="&amp;DATE(2025,3,31))</f>
        <v>0</v>
      </c>
      <c r="E52" t="e">
        <f>IF($AO$6,D52,NA())</f>
        <v>#N/A</v>
      </c>
      <c r="F52">
        <f t="shared" si="50"/>
        <v>0</v>
      </c>
      <c r="G52">
        <f>COUNTIFS('Quote Log'!$C:$C,"&gt;="&amp;DATE(2025,3,1),'Quote Log'!$C:$C,"&lt;="&amp;DATE(2025,3,31),'Quote Log'!$B:$B,"=Purchased")</f>
        <v>0</v>
      </c>
      <c r="H52" s="350" t="e">
        <f>IF($AO$6,G52,NA())</f>
        <v>#N/A</v>
      </c>
      <c r="I52" s="349" t="e">
        <f>G52/B52</f>
        <v>#DIV/0!</v>
      </c>
      <c r="J52" s="349" t="e">
        <f>IF($AO$6,F52/B52,NA())</f>
        <v>#N/A</v>
      </c>
      <c r="K52">
        <f>COUNTIFS('Quote Log'!$C:$C,"&gt;="&amp;DATE(2025,3,1),'Quote Log'!$C:$C,"&lt;="&amp;DATE(2025,3,31),'Quote Log'!$B:$B,"=LOST")</f>
        <v>0</v>
      </c>
      <c r="L52">
        <f>COUNTIFS('Quote Log'!$B:$B,"&lt;&gt;VOID",'Quote Log'!$B:$B,"&lt;&gt;Requoted",'Quote Log'!$C:$C,"&gt;="&amp;DATE(2025,3,1),'Quote Log'!$C:$C,"&lt;="&amp;DATE(2025,3,31),'Quote Log'!$V:$V,"=new")</f>
        <v>0</v>
      </c>
      <c r="M52" s="349" t="e">
        <f>L52/B52</f>
        <v>#DIV/0!</v>
      </c>
      <c r="N52" s="339" t="e">
        <f>IF($AO$6,M52,NA())</f>
        <v>#N/A</v>
      </c>
      <c r="O52" s="358">
        <f>SUMIFS('Quote Log'!$AB:$AB,'Quote Log'!$C:$C,"&gt;="&amp;DATE(2025,3,1),'Quote Log'!$C:$C,"&lt;="&amp;DATE(2025,3,31),'Quote Log'!$B:$B,"=Purchased",'Quote Log'!$AB:$AB,"&lt;&gt;#VALUE!")</f>
        <v>0</v>
      </c>
      <c r="P52" s="358" t="e">
        <f>IF($AO$6,O52,NA())</f>
        <v>#N/A</v>
      </c>
      <c r="Q52" s="349" t="e">
        <f>(O52-O40)/O40</f>
        <v>#DIV/0!</v>
      </c>
      <c r="R52" s="349" t="e">
        <f>IF($AO$6,Q52,NA())</f>
        <v>#N/A</v>
      </c>
      <c r="S52" s="358">
        <f>SUMIFS('Quote Log'!$AB:$AB,'Quote Log'!$C:$C,"&gt;="&amp;DATE(2025,3,1),'Quote Log'!$C:$C,"&lt;="&amp;DATE(2025,3,31),'Quote Log'!$B:$B,"=Purchased",'Quote Log'!$AB:$AB,"&lt;&gt;#VALUE!")+S51</f>
        <v>0</v>
      </c>
      <c r="T52" s="358" t="e">
        <f>IF($AO$6,S52,NA())</f>
        <v>#N/A</v>
      </c>
      <c r="U52" s="349" t="e">
        <f>(S52-S40)/S40</f>
        <v>#DIV/0!</v>
      </c>
      <c r="V52" s="349" t="e">
        <f>IF($AO$6,U52,NA())</f>
        <v>#N/A</v>
      </c>
      <c r="W52">
        <f>COUNTIFS('Quote Log'!$B:$B,"&lt;&gt;VOID",'Quote Log'!$B:$B,"&lt;&gt;Requoted",'Quote Log'!$C:$C,"&gt;="&amp;DATE(2025,3,1),'Quote Log'!$C:$C,"&lt;="&amp;DATE(2025,3,31),'Quote Log'!$AK:$AK,"=Web Unknown")</f>
        <v>0</v>
      </c>
      <c r="X52">
        <f>COUNTIFS('Quote Log'!$B:$B,"&lt;&gt;VOID",'Quote Log'!$B:$B,"&lt;&gt;Requoted",'Quote Log'!$C:$C,"&gt;="&amp;DATE(2025,3,1),'Quote Log'!$C:$C,"&lt;="&amp;DATE(2025,3,31),'Quote Log'!$AK:$AK,"=Google")</f>
        <v>0</v>
      </c>
      <c r="Y52">
        <f>COUNTIFS('Quote Log'!$B:$B,"&lt;&gt;VOID",'Quote Log'!$B:$B,"&lt;&gt;Requoted",'Quote Log'!$C:$C,"&gt;="&amp;DATE(2025,3,1),'Quote Log'!$C:$C,"&lt;="&amp;DATE(2025,3,31),'Quote Log'!$AK:$AK,"=Linked-In")</f>
        <v>0</v>
      </c>
      <c r="Z52">
        <f>COUNTIFS('Quote Log'!$B:$B,"&lt;&gt;VOID",'Quote Log'!$B:$B,"&lt;&gt;Requoted",'Quote Log'!$C:$C,"&gt;="&amp;DATE(2025,3,1),'Quote Log'!$C:$C,"&lt;="&amp;DATE(2025,3,31),'Quote Log'!$AK:$AK,"=Thomasnet")</f>
        <v>0</v>
      </c>
      <c r="AA52">
        <f t="shared" si="47"/>
        <v>0</v>
      </c>
      <c r="AB52">
        <f>COUNTIFS('Quote Log'!$B:$B,"&lt;&gt;VOID",'Quote Log'!$B:$B,"&lt;&gt;Requoted",'Quote Log'!$C:$C,"&gt;="&amp;DATE(2025,3,1),'Quote Log'!$C:$C,"&lt;="&amp;DATE(2025,3,31),'Quote Log'!$AK:$AK,"=Phone Call")</f>
        <v>0</v>
      </c>
      <c r="AC52">
        <f>COUNTIFS('Quote Log'!$B:$B,"&lt;&gt;VOID",'Quote Log'!$B:$B,"&lt;&gt;Requoted",'Quote Log'!$C:$C,"&gt;="&amp;DATE(2025,3,1),'Quote Log'!$C:$C,"&lt;="&amp;DATE(2025,3,31),'Quote Log'!$AK:$AK,"=Trade Show")</f>
        <v>0</v>
      </c>
      <c r="AD52">
        <f>COUNTIFS('Quote Log'!$B:$B,"&lt;&gt;VOID",'Quote Log'!$B:$B,"&lt;&gt;Requoted",'Quote Log'!$C:$C,"&gt;="&amp;DATE(2025,3,1),'Quote Log'!$C:$C,"&lt;="&amp;DATE(2025,3,31),'Quote Log'!$AK:$AK,"=Referral")</f>
        <v>0</v>
      </c>
      <c r="AE52" s="350" t="e">
        <f>IF($AO$6,W52,NA())</f>
        <v>#N/A</v>
      </c>
      <c r="AF52">
        <f>COUNTIFS('Quote Log'!$B:$B,"&lt;&gt;VOID",'Quote Log'!$B:$B,"&lt;&gt;",'Quote Log'!$B:$B,"&lt;&gt;Cathy",'Quote Log'!$B:$B,"&lt;&gt;Larry",'Quote Log'!$B:$B,"&lt;&gt;LOST",'Quote Log'!$B:$B,"&lt;&gt;Purchased",'Quote Log'!$B:$B,"&lt;&gt;Max",'Quote Log'!$B:$B,"&lt;&gt;Quote Sent",'Quote Log'!$B:$B,"&lt;&gt;ISSUE",'Quote Log'!$B:$B,"&lt;&gt;Requoted",'Quote Log'!$C:$C,"&gt;="&amp;DATE(2025,3,1),'Quote Log'!$C:$C,"&lt;="&amp;DATE(2025,3,31))</f>
        <v>0</v>
      </c>
      <c r="AG52" s="350" t="e">
        <f>IF($AO$6,AF52,NA())</f>
        <v>#N/A</v>
      </c>
      <c r="AH52" s="358">
        <f>SUMIFS('Quote Log'!$AB:$AB,'Quote Log'!$B:$B,"=Quote Sent",'Quote Log'!$C:$C,"&gt;="&amp;DATE(2025,3,1),'Quote Log'!$C:$C,"&lt;="&amp;DATE(2025,3,31),'Quote Log'!$AB:$AB,"&lt;&gt;#VALUE!")</f>
        <v>0</v>
      </c>
      <c r="AI52" s="358" t="e">
        <f>IF($AO$6,AH52,NA())</f>
        <v>#N/A</v>
      </c>
      <c r="AJ52" s="358">
        <f>SUMIFS('Quote Log'!$AB:$AB,'Quote Log'!$B:$B,"=LOST",'Quote Log'!$C:$C,"&gt;="&amp;DATE(2025,3,1),'Quote Log'!$C:$C,"&lt;="&amp;DATE(2025,3,31),'Quote Log'!$AB:$AB,"&lt;&gt;#VALUE!")</f>
        <v>0</v>
      </c>
    </row>
    <row r="53" spans="1:39" x14ac:dyDescent="0.25">
      <c r="A53" s="338">
        <v>45748</v>
      </c>
      <c r="B53">
        <f>COUNTIFS('Quote Log'!$B:$B,"&lt;&gt;VOID",'Quote Log'!$B:$B,"&lt;&gt;Requoted",'Quote Log'!$C:$C,"&gt;="&amp;DATE(2025,4,1),'Quote Log'!$C:$C,"&lt;="&amp;DATE(2025,4,30))</f>
        <v>2</v>
      </c>
      <c r="C53" t="e">
        <f>IF($AO$6,B53,NA())</f>
        <v>#N/A</v>
      </c>
      <c r="D53">
        <f>COUNTIFS('Quote Log'!$B:$B,"&lt;&gt;VOID",'Quote Log'!$B:$B,"&lt;&gt;Requoted",'Quote Log'!$H:$H,"&gt;="&amp;DATE(2025,4,1),'Quote Log'!$H:$H,"&lt;="&amp;DATE(2025,4,30))</f>
        <v>2</v>
      </c>
      <c r="E53" t="e">
        <f>IF($AO$6,D53,NA())</f>
        <v>#N/A</v>
      </c>
      <c r="F53">
        <f t="shared" si="50"/>
        <v>0</v>
      </c>
      <c r="G53">
        <f>COUNTIFS('Quote Log'!$C:$C,"&gt;="&amp;DATE(2025,4,1),'Quote Log'!$C:$C,"&lt;="&amp;DATE(2025,4,30),'Quote Log'!$B:$B,"=Purchased")</f>
        <v>0</v>
      </c>
      <c r="H53" s="350" t="e">
        <f>IF($AO$6,G53,NA())</f>
        <v>#N/A</v>
      </c>
      <c r="I53" s="349">
        <f>G53/B53</f>
        <v>0</v>
      </c>
      <c r="J53" s="349" t="e">
        <f>IF($AO$6,F53/B53,NA())</f>
        <v>#N/A</v>
      </c>
      <c r="K53">
        <f>COUNTIFS('Quote Log'!$C:$C,"&gt;="&amp;DATE(2025,4,1),'Quote Log'!$C:$C,"&lt;="&amp;DATE(2025,4,30),'Quote Log'!$B:$B,"=LOST")</f>
        <v>0</v>
      </c>
      <c r="L53">
        <f>COUNTIFS('Quote Log'!$B:$B,"&lt;&gt;VOID",'Quote Log'!$B:$B,"&lt;&gt;Requoted",'Quote Log'!$C:$C,"&gt;="&amp;DATE(2025,4,1),'Quote Log'!$C:$C,"&lt;="&amp;DATE(2025,4,30),'Quote Log'!$V:$V,"=new")</f>
        <v>2</v>
      </c>
      <c r="M53" s="349">
        <f>L53/B53</f>
        <v>1</v>
      </c>
      <c r="N53" s="339" t="e">
        <f>IF($AO$6,M53,NA())</f>
        <v>#N/A</v>
      </c>
      <c r="O53" s="358">
        <f>SUMIFS('Quote Log'!$AB:$AB,'Quote Log'!$C:$C,"&gt;="&amp;DATE(2025,4,1),'Quote Log'!$C:$C,"&lt;="&amp;DATE(2025,4,30),'Quote Log'!$B:$B,"=Purchased",'Quote Log'!$AB:$AB,"&lt;&gt;#VALUE!")</f>
        <v>0</v>
      </c>
      <c r="P53" s="358" t="e">
        <f>IF($AO$6,O53,NA())</f>
        <v>#N/A</v>
      </c>
      <c r="Q53" s="349" t="e">
        <f>(O53-O41)/O41</f>
        <v>#DIV/0!</v>
      </c>
      <c r="R53" s="349" t="e">
        <f>IF($AO$6,Q53,NA())</f>
        <v>#N/A</v>
      </c>
      <c r="S53" s="358">
        <f>SUMIFS('Quote Log'!$AB:$AB,'Quote Log'!$C:$C,"&gt;="&amp;DATE(2025,4,1),'Quote Log'!$C:$C,"&lt;="&amp;DATE(2025,4,30),'Quote Log'!$B:$B,"=Purchased",'Quote Log'!$AB:$AB,"&lt;&gt;#VALUE!")+S52</f>
        <v>0</v>
      </c>
      <c r="T53" s="358" t="e">
        <f>IF($AO$6,S53,NA())</f>
        <v>#N/A</v>
      </c>
      <c r="U53" s="349" t="e">
        <f>(S53-S41)/S41</f>
        <v>#DIV/0!</v>
      </c>
      <c r="V53" s="349" t="e">
        <f>IF($AO$6,U53,NA())</f>
        <v>#N/A</v>
      </c>
      <c r="W53">
        <f>COUNTIFS('Quote Log'!$B:$B,"&lt;&gt;VOID",'Quote Log'!$B:$B,"&lt;&gt;Requoted",'Quote Log'!$C:$C,"&gt;="&amp;DATE(2025,4,1),'Quote Log'!$C:$C,"&lt;="&amp;DATE(2025,4,30),'Quote Log'!$AK:$AK,"=Web Unknown")</f>
        <v>0</v>
      </c>
      <c r="X53">
        <f>COUNTIFS('Quote Log'!$B:$B,"&lt;&gt;VOID",'Quote Log'!$B:$B,"&lt;&gt;Requoted",'Quote Log'!$C:$C,"&gt;="&amp;DATE(2025,4,1),'Quote Log'!$C:$C,"&lt;="&amp;DATE(2025,4,30),'Quote Log'!$AK:$AK,"=Google")</f>
        <v>0</v>
      </c>
      <c r="Y53">
        <f>COUNTIFS('Quote Log'!$B:$B,"&lt;&gt;VOID",'Quote Log'!$B:$B,"&lt;&gt;Requoted",'Quote Log'!$C:$C,"&gt;="&amp;DATE(2025,4,1),'Quote Log'!$C:$C,"&lt;="&amp;DATE(2025,4,30),'Quote Log'!$AK:$AK,"=Linked-In")</f>
        <v>0</v>
      </c>
      <c r="Z53">
        <f>COUNTIFS('Quote Log'!$B:$B,"&lt;&gt;VOID",'Quote Log'!$B:$B,"&lt;&gt;Requoted",'Quote Log'!$C:$C,"&gt;="&amp;DATE(2025,4,1),'Quote Log'!$C:$C,"&lt;="&amp;DATE(2025,4,30),'Quote Log'!$AK:$AK,"=Thomasnet")</f>
        <v>0</v>
      </c>
      <c r="AA53">
        <f t="shared" si="47"/>
        <v>0</v>
      </c>
      <c r="AB53">
        <f>COUNTIFS('Quote Log'!$B:$B,"&lt;&gt;VOID",'Quote Log'!$B:$B,"&lt;&gt;Requoted",'Quote Log'!$C:$C,"&gt;="&amp;DATE(2025,4,1),'Quote Log'!$C:$C,"&lt;="&amp;DATE(2025,4,30),'Quote Log'!$AK:$AK,"=Phone Call")</f>
        <v>0</v>
      </c>
      <c r="AC53">
        <f>COUNTIFS('Quote Log'!$B:$B,"&lt;&gt;VOID",'Quote Log'!$B:$B,"&lt;&gt;Requoted",'Quote Log'!$C:$C,"&gt;="&amp;DATE(2025,4,1),'Quote Log'!$C:$C,"&lt;="&amp;DATE(2025,4,30),'Quote Log'!$AK:$AK,"=Trade Show")</f>
        <v>0</v>
      </c>
      <c r="AD53">
        <f>COUNTIFS('Quote Log'!$B:$B,"&lt;&gt;VOID",'Quote Log'!$B:$B,"&lt;&gt;Requoted",'Quote Log'!$C:$C,"&gt;="&amp;DATE(2025,4,1),'Quote Log'!$C:$C,"&lt;="&amp;DATE(2025,4,30),'Quote Log'!$AK:$AK,"=Referral")</f>
        <v>0</v>
      </c>
      <c r="AE53" s="350" t="e">
        <f>IF($AO$6,W53,NA())</f>
        <v>#N/A</v>
      </c>
      <c r="AF53">
        <f>COUNTIFS('Quote Log'!$B:$B,"&lt;&gt;VOID",'Quote Log'!$B:$B,"&lt;&gt;",'Quote Log'!$B:$B,"&lt;&gt;Cathy",'Quote Log'!$B:$B,"&lt;&gt;Larry",'Quote Log'!$B:$B,"&lt;&gt;LOST",'Quote Log'!$B:$B,"&lt;&gt;Purchased",'Quote Log'!$B:$B,"&lt;&gt;Max",'Quote Log'!$B:$B,"&lt;&gt;Quote Sent",'Quote Log'!$B:$B,"&lt;&gt;ISSUE",'Quote Log'!$B:$B,"&lt;&gt;Requoted",'Quote Log'!$C:$C,"&gt;="&amp;DATE(2025,4,1),'Quote Log'!$C:$C,"&lt;="&amp;DATE(2025,4,30))</f>
        <v>0</v>
      </c>
      <c r="AG53" s="350" t="e">
        <f>IF($AO$6,AF53,NA())</f>
        <v>#N/A</v>
      </c>
      <c r="AH53" s="358">
        <f>SUMIFS('Quote Log'!$AB:$AB,'Quote Log'!$B:$B,"=Quote Sent",'Quote Log'!$C:$C,"&gt;="&amp;DATE(2025,4,1),'Quote Log'!$C:$C,"&lt;="&amp;DATE(2025,4,30),'Quote Log'!$AB:$AB,"&lt;&gt;#VALUE!")</f>
        <v>0</v>
      </c>
      <c r="AI53" s="358" t="e">
        <f>IF($AO$6,AH53,NA())</f>
        <v>#N/A</v>
      </c>
      <c r="AJ53" s="358">
        <f>SUMIFS('Quote Log'!$AB:$AB,'Quote Log'!$B:$B,"=LOST",'Quote Log'!$C:$C,"&gt;="&amp;DATE(2025,4,1),'Quote Log'!$C:$C,"&lt;="&amp;DATE(2025,4,30),'Quote Log'!$AB:$AB,"&lt;&gt;#VALUE!")</f>
        <v>0</v>
      </c>
    </row>
    <row r="54" spans="1:39" x14ac:dyDescent="0.25">
      <c r="A54" s="338">
        <v>45778</v>
      </c>
      <c r="B54">
        <f>COUNTIFS('Quote Log'!$B:$B,"&lt;&gt;VOID",'Quote Log'!$B:$B,"&lt;&gt;Requoted",'Quote Log'!$C:$C,"&gt;="&amp;DATE(2025,5,1),'Quote Log'!$C:$C,"&lt;="&amp;DATE(2025,5,31))</f>
        <v>10</v>
      </c>
      <c r="C54" t="e">
        <f>IF($AO$6,B54,NA())</f>
        <v>#N/A</v>
      </c>
      <c r="D54">
        <f>COUNTIFS('Quote Log'!$B:$B,"&lt;&gt;VOID",'Quote Log'!$B:$B,"&lt;&gt;Requoted",'Quote Log'!$H:$H,"&gt;="&amp;DATE(2025,5,1),'Quote Log'!$H:$H,"&lt;="&amp;DATE(2025,5,31))</f>
        <v>6</v>
      </c>
      <c r="E54" t="e">
        <f>IF($AO$6,D54,NA())</f>
        <v>#N/A</v>
      </c>
      <c r="F54">
        <f t="shared" si="50"/>
        <v>1</v>
      </c>
      <c r="G54">
        <f>COUNTIFS('Quote Log'!$C:$C,"&gt;="&amp;DATE(2025,5,1),'Quote Log'!$C:$C,"&lt;="&amp;DATE(2025,5,31),'Quote Log'!$B:$B,"=Purchased")</f>
        <v>1</v>
      </c>
      <c r="H54" s="350" t="e">
        <f>IF($AO$6,G54,NA())</f>
        <v>#N/A</v>
      </c>
      <c r="I54" s="349">
        <f>G54/B54</f>
        <v>0.1</v>
      </c>
      <c r="J54" s="349" t="e">
        <f>IF($AO$6,F54/B54,NA())</f>
        <v>#N/A</v>
      </c>
      <c r="K54">
        <f>COUNTIFS('Quote Log'!$C:$C,"&gt;="&amp;DATE(2025,5,1),'Quote Log'!$C:$C,"&lt;="&amp;DATE(2025,5,31),'Quote Log'!$B:$B,"=LOST")</f>
        <v>0</v>
      </c>
      <c r="L54">
        <f>COUNTIFS('Quote Log'!$B:$B,"&lt;&gt;VOID",'Quote Log'!$B:$B,"&lt;&gt;Requoted",'Quote Log'!$C:$C,"&gt;="&amp;DATE(2025,5,1),'Quote Log'!$C:$C,"&lt;="&amp;DATE(2025,5,31),'Quote Log'!$V:$V,"=new")</f>
        <v>8</v>
      </c>
      <c r="M54" s="349">
        <f>L54/B54</f>
        <v>0.8</v>
      </c>
      <c r="N54" s="339" t="e">
        <f>IF($AO$6,M54,NA())</f>
        <v>#N/A</v>
      </c>
      <c r="O54" s="358">
        <f>SUMIFS('Quote Log'!$AB:$AB,'Quote Log'!$C:$C,"&gt;="&amp;DATE(2025,5,1),'Quote Log'!$C:$C,"&lt;="&amp;DATE(2025,5,31),'Quote Log'!$B:$B,"=Purchased",'Quote Log'!$AB:$AB,"&lt;&gt;#VALUE!")</f>
        <v>528.6</v>
      </c>
      <c r="P54" s="358" t="e">
        <f>IF($AO$6,O54,NA())</f>
        <v>#N/A</v>
      </c>
      <c r="Q54" s="349" t="e">
        <f>(O54-O42)/O42</f>
        <v>#DIV/0!</v>
      </c>
      <c r="R54" s="349" t="e">
        <f>IF($AO$6,Q54,NA())</f>
        <v>#N/A</v>
      </c>
      <c r="S54" s="358">
        <f>SUMIFS('Quote Log'!$AB:$AB,'Quote Log'!$C:$C,"&gt;="&amp;DATE(2025,5,1),'Quote Log'!$C:$C,"&lt;="&amp;DATE(2025,5,31),'Quote Log'!$B:$B,"=Purchased",'Quote Log'!$AB:$AB,"&lt;&gt;#VALUE!")+S53</f>
        <v>528.6</v>
      </c>
      <c r="T54" s="358" t="e">
        <f>IF($AO$6,S54,NA())</f>
        <v>#N/A</v>
      </c>
      <c r="U54" s="349" t="e">
        <f>(S54-S42)/S42</f>
        <v>#DIV/0!</v>
      </c>
      <c r="V54" s="349" t="e">
        <f>IF($AO$6,U54,NA())</f>
        <v>#N/A</v>
      </c>
      <c r="W54">
        <f>COUNTIFS('Quote Log'!$B:$B,"&lt;&gt;VOID",'Quote Log'!$B:$B,"&lt;&gt;Requoted",'Quote Log'!$C:$C,"&gt;="&amp;DATE(2025,5,1),'Quote Log'!$C:$C,"&lt;="&amp;DATE(2025,5,31),'Quote Log'!$AK:$AK,"=Web Unknown")</f>
        <v>1</v>
      </c>
      <c r="X54">
        <f>COUNTIFS('Quote Log'!$B:$B,"&lt;&gt;VOID",'Quote Log'!$B:$B,"&lt;&gt;Requoted",'Quote Log'!$C:$C,"&gt;="&amp;DATE(2025,5,1),'Quote Log'!$C:$C,"&lt;="&amp;DATE(2025,5,31),'Quote Log'!$AK:$AK,"=Google")</f>
        <v>0</v>
      </c>
      <c r="Y54">
        <f>COUNTIFS('Quote Log'!$B:$B,"&lt;&gt;VOID",'Quote Log'!$B:$B,"&lt;&gt;Requoted",'Quote Log'!$C:$C,"&gt;="&amp;DATE(2025,5,1),'Quote Log'!$C:$C,"&lt;="&amp;DATE(2025,5,31),'Quote Log'!$AK:$AK,"=Linked-In")</f>
        <v>0</v>
      </c>
      <c r="Z54">
        <f>COUNTIFS('Quote Log'!$B:$B,"&lt;&gt;VOID",'Quote Log'!$B:$B,"&lt;&gt;Requoted",'Quote Log'!$C:$C,"&gt;="&amp;DATE(2025,5,1),'Quote Log'!$C:$C,"&lt;="&amp;DATE(2025,5,31),'Quote Log'!$AK:$AK,"=Thomasnet")</f>
        <v>0</v>
      </c>
      <c r="AA54">
        <f t="shared" si="47"/>
        <v>1</v>
      </c>
      <c r="AB54">
        <f>COUNTIFS('Quote Log'!$B:$B,"&lt;&gt;VOID",'Quote Log'!$B:$B,"&lt;&gt;Requoted",'Quote Log'!$C:$C,"&gt;="&amp;DATE(2025,5,1),'Quote Log'!$C:$C,"&lt;="&amp;DATE(2025,5,31),'Quote Log'!$AK:$AK,"=Phone Call")</f>
        <v>0</v>
      </c>
      <c r="AC54">
        <f>COUNTIFS('Quote Log'!$B:$B,"&lt;&gt;VOID",'Quote Log'!$B:$B,"&lt;&gt;Requoted",'Quote Log'!$C:$C,"&gt;="&amp;DATE(2025,5,1),'Quote Log'!$C:$C,"&lt;="&amp;DATE(2025,5,31),'Quote Log'!$AK:$AK,"=Trade Show")</f>
        <v>0</v>
      </c>
      <c r="AD54">
        <f>COUNTIFS('Quote Log'!$B:$B,"&lt;&gt;VOID",'Quote Log'!$B:$B,"&lt;&gt;Requoted",'Quote Log'!$C:$C,"&gt;="&amp;DATE(2025,5,1),'Quote Log'!$C:$C,"&lt;="&amp;DATE(2025,5,31),'Quote Log'!$AK:$AK,"=Referral")</f>
        <v>1</v>
      </c>
      <c r="AE54" s="350" t="e">
        <f>IF($AO$6,W54,NA())</f>
        <v>#N/A</v>
      </c>
      <c r="AF54">
        <f>COUNTIFS('Quote Log'!$B:$B,"&lt;&gt;VOID",'Quote Log'!$B:$B,"&lt;&gt;",'Quote Log'!$B:$B,"&lt;&gt;Cathy",'Quote Log'!$B:$B,"&lt;&gt;Larry",'Quote Log'!$B:$B,"&lt;&gt;LOST",'Quote Log'!$B:$B,"&lt;&gt;Purchased",'Quote Log'!$B:$B,"&lt;&gt;Max",'Quote Log'!$B:$B,"&lt;&gt;Quote Sent",'Quote Log'!$B:$B,"&lt;&gt;ISSUE",'Quote Log'!$B:$B,"&lt;&gt;Requoted",'Quote Log'!$C:$C,"&gt;="&amp;DATE(2025,5,1),'Quote Log'!$C:$C,"&lt;="&amp;DATE(2025,5,31))</f>
        <v>3</v>
      </c>
      <c r="AG54" s="350" t="e">
        <f>IF($AO$6,AF54,NA())</f>
        <v>#N/A</v>
      </c>
      <c r="AH54" s="358">
        <f>SUMIFS('Quote Log'!$AB:$AB,'Quote Log'!$B:$B,"=Quote Sent",'Quote Log'!$C:$C,"&gt;="&amp;DATE(2025,5,1),'Quote Log'!$C:$C,"&lt;="&amp;DATE(2025,5,31),'Quote Log'!$AB:$AB,"&lt;&gt;#VALUE!")</f>
        <v>7229.6</v>
      </c>
      <c r="AI54" s="358" t="e">
        <f>IF($AO$6,AH54,NA())</f>
        <v>#N/A</v>
      </c>
      <c r="AJ54" s="358">
        <f>SUMIFS('Quote Log'!$AB:$AB,'Quote Log'!$B:$B,"=LOST",'Quote Log'!$C:$C,"&gt;="&amp;DATE(2025,5,1),'Quote Log'!$C:$C,"&lt;="&amp;DATE(2025,5,31),'Quote Log'!$AB:$AB,"&lt;&gt;#VALUE!")</f>
        <v>0</v>
      </c>
    </row>
    <row r="55" spans="1:39" x14ac:dyDescent="0.25">
      <c r="A55" s="338">
        <v>45809</v>
      </c>
    </row>
    <row r="56" spans="1:39" x14ac:dyDescent="0.25">
      <c r="A56" s="338">
        <v>45839</v>
      </c>
    </row>
    <row r="57" spans="1:39" x14ac:dyDescent="0.25">
      <c r="A57" s="338">
        <v>45870</v>
      </c>
    </row>
    <row r="58" spans="1:39" x14ac:dyDescent="0.25">
      <c r="A58" s="338">
        <v>45901</v>
      </c>
    </row>
    <row r="59" spans="1:39" x14ac:dyDescent="0.25">
      <c r="A59" s="338">
        <v>45931</v>
      </c>
    </row>
    <row r="60" spans="1:39" x14ac:dyDescent="0.25">
      <c r="A60" s="338">
        <v>45962</v>
      </c>
    </row>
    <row r="61" spans="1:39" x14ac:dyDescent="0.25">
      <c r="A61" s="338">
        <v>45992</v>
      </c>
    </row>
  </sheetData>
  <dataValidations count="1">
    <dataValidation type="list" allowBlank="1" showInputMessage="1" showErrorMessage="1" sqref="AO2:AO6" xr:uid="{704BAF63-C62C-40BB-B24C-25811E1593B5}">
      <formula1>$AM$2:$AM$3</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C2D0F-0394-4607-99F3-6174025F2F31}">
  <sheetPr>
    <tabColor rgb="FF99CCFF"/>
  </sheetPr>
  <dimension ref="A1:AK266"/>
  <sheetViews>
    <sheetView topLeftCell="O1" workbookViewId="0">
      <pane ySplit="1" topLeftCell="A8" activePane="bottomLeft" state="frozen"/>
      <selection pane="bottomLeft" activeCell="O2" sqref="O2"/>
    </sheetView>
  </sheetViews>
  <sheetFormatPr defaultRowHeight="15" x14ac:dyDescent="0.25"/>
  <cols>
    <col min="2" max="2" width="8.85546875" style="350"/>
    <col min="3" max="3" width="14.5703125" bestFit="1" customWidth="1"/>
    <col min="4" max="4" width="14.5703125" hidden="1" customWidth="1"/>
    <col min="5" max="5" width="10.42578125" bestFit="1" customWidth="1"/>
    <col min="6" max="6" width="10.42578125" hidden="1" customWidth="1"/>
    <col min="7" max="7" width="9" customWidth="1"/>
    <col min="8" max="8" width="9" hidden="1" customWidth="1"/>
    <col min="9" max="9" width="9.140625" bestFit="1" customWidth="1"/>
    <col min="10" max="10" width="9.140625" hidden="1" customWidth="1"/>
    <col min="11" max="11" width="9.85546875" bestFit="1" customWidth="1"/>
    <col min="12" max="12" width="9.85546875" customWidth="1"/>
    <col min="13" max="13" width="11.28515625" style="349" bestFit="1" customWidth="1"/>
    <col min="14" max="14" width="11.28515625" style="349" hidden="1" customWidth="1"/>
    <col min="15" max="15" width="18.140625" style="351" bestFit="1" customWidth="1"/>
    <col min="16" max="16" width="18.140625" style="351" hidden="1" customWidth="1"/>
    <col min="17" max="17" width="18.28515625" style="349" bestFit="1" customWidth="1"/>
    <col min="18" max="18" width="18.7109375" style="349" hidden="1" customWidth="1"/>
    <col min="19" max="19" width="15.28515625" style="351" customWidth="1"/>
    <col min="20" max="20" width="15.28515625" style="351" hidden="1" customWidth="1"/>
    <col min="21" max="22" width="15.28515625" style="349" customWidth="1"/>
    <col min="23" max="23" width="3.42578125" customWidth="1"/>
    <col min="24" max="24" width="3.42578125" hidden="1" customWidth="1"/>
    <col min="25" max="35" width="9.140625" bestFit="1" customWidth="1"/>
    <col min="36" max="36" width="9.140625" customWidth="1"/>
    <col min="37" max="37" width="9.140625" hidden="1" customWidth="1"/>
  </cols>
  <sheetData>
    <row r="1" spans="1:37" x14ac:dyDescent="0.25">
      <c r="A1" t="s">
        <v>1541</v>
      </c>
      <c r="B1" s="350" t="s">
        <v>1542</v>
      </c>
      <c r="C1" t="s">
        <v>1512</v>
      </c>
      <c r="D1" t="s">
        <v>1512</v>
      </c>
      <c r="E1" t="s">
        <v>1513</v>
      </c>
      <c r="F1" t="s">
        <v>1513</v>
      </c>
      <c r="G1" t="s">
        <v>1514</v>
      </c>
      <c r="H1" t="s">
        <v>1514</v>
      </c>
      <c r="I1" t="s">
        <v>1515</v>
      </c>
      <c r="J1" t="s">
        <v>1515</v>
      </c>
      <c r="K1" t="s">
        <v>1516</v>
      </c>
      <c r="L1" t="s">
        <v>1517</v>
      </c>
      <c r="M1" s="349" t="s">
        <v>1518</v>
      </c>
      <c r="N1" s="349" t="s">
        <v>1518</v>
      </c>
      <c r="O1" s="351" t="s">
        <v>1519</v>
      </c>
      <c r="P1" s="351" t="s">
        <v>1519</v>
      </c>
      <c r="Q1" s="349" t="s">
        <v>1520</v>
      </c>
      <c r="R1" s="349" t="s">
        <v>1520</v>
      </c>
      <c r="S1" s="351" t="s">
        <v>1521</v>
      </c>
      <c r="T1" s="351" t="s">
        <v>1521</v>
      </c>
      <c r="U1" s="349" t="s">
        <v>1522</v>
      </c>
      <c r="V1" s="349" t="s">
        <v>1522</v>
      </c>
      <c r="Z1" s="71" t="s">
        <v>1530</v>
      </c>
    </row>
    <row r="2" spans="1:37" x14ac:dyDescent="0.25">
      <c r="A2">
        <v>2021</v>
      </c>
      <c r="B2" s="350">
        <v>1</v>
      </c>
      <c r="C2">
        <f>COUNTIFS('Quote Log'!$B:$B,"&lt;&gt;VOID",'Quote Log'!$B:$B,"&lt;&gt;Requoted",'Quote Log'!$C:$C,"&gt;="&amp;DATE(2021,1,1),'Quote Log'!$C:$C,"&lt;="&amp;DATE(2021,1,2))</f>
        <v>0</v>
      </c>
      <c r="D2" t="e">
        <f t="shared" ref="D2:D33" si="0">IF($Z$2,C2,NA())</f>
        <v>#N/A</v>
      </c>
      <c r="E2">
        <f>COUNTIFS('Quote Log'!$B:$B,"&lt;&gt;VOID",'Quote Log'!$B:$B,"&lt;&gt;Requoted",'Quote Log'!$H:$H,"&gt;="&amp;DATE(2021,1,1),'Quote Log'!$H:$H,"&lt;="&amp;DATE(2021,1,2))</f>
        <v>0</v>
      </c>
      <c r="F2" t="e">
        <f t="shared" ref="F2:F33" si="1">IF($Z$2,E2,NA())</f>
        <v>#N/A</v>
      </c>
      <c r="G2">
        <f>COUNTIFS('Quote Log'!$C:$C,"&gt;="&amp;DATE(2021,1,1),'Quote Log'!$C:$C,"&lt;="&amp;DATE(2021,1,2),'Quote Log'!$B:$B,"=Purchased")</f>
        <v>0</v>
      </c>
      <c r="H2" t="e">
        <f t="shared" ref="H2:H33" si="2">IF(Z$2,G2,NA())</f>
        <v>#N/A</v>
      </c>
      <c r="I2" s="339">
        <f t="shared" ref="I2:I65" si="3">IF(C2&lt;&gt;0,G2/C2,0)</f>
        <v>0</v>
      </c>
      <c r="J2" s="339" t="e">
        <f t="shared" ref="J2:J33" si="4">IF($Z$2,I2,NA())</f>
        <v>#N/A</v>
      </c>
      <c r="K2">
        <f>COUNTIFS('Quote Log'!$C:$C,"&gt;="&amp;DATE(2021,1,1),'Quote Log'!$C:$C,"&lt;="&amp;DATE(2021,1,2),'Quote Log'!$B:$B,"=LOST")</f>
        <v>0</v>
      </c>
      <c r="L2">
        <f>COUNTIFS('Quote Log'!$B:$B,"&lt;&gt;VOID",'Quote Log'!$B:$B,"&lt;&gt;Requoted",'Quote Log'!$C:$C,"&gt;="&amp;DATE(2021,1,1),'Quote Log'!$C:$C,"&lt;="&amp;DATE(2021,1,2),'Quote Log'!$V:$V,"=new")</f>
        <v>0</v>
      </c>
      <c r="M2" s="349">
        <f t="shared" ref="M2:M65" si="5">IF(C2&lt;&gt;0,L2/C2,0)</f>
        <v>0</v>
      </c>
      <c r="N2" s="339" t="e">
        <f t="shared" ref="N2:N33" si="6">IF($Z$2,M2,NA())</f>
        <v>#N/A</v>
      </c>
      <c r="O2" s="351">
        <f>SUMIFS('Quote Log'!$AB:$AB,'Quote Log'!$C:$C,"&gt;="&amp;DATE(2021,1,1),'Quote Log'!$C:$C,"&lt;="&amp;DATE(2021,1,2),'Quote Log'!$B:$B,"=Purchased",'Quote Log'!$AB:$AB,"&lt;&gt;#VALUE!")</f>
        <v>0</v>
      </c>
      <c r="P2" s="351" t="e">
        <f t="shared" ref="P2:P33" si="7">IF($Z$2,O2,NA())</f>
        <v>#N/A</v>
      </c>
      <c r="Q2" s="349" t="e">
        <f>NA()</f>
        <v>#N/A</v>
      </c>
      <c r="R2" s="349" t="e">
        <f t="shared" ref="R2:R33" si="8">IF($Z$2,Q2,NA())</f>
        <v>#N/A</v>
      </c>
      <c r="S2" s="351">
        <f>O2</f>
        <v>0</v>
      </c>
      <c r="T2" s="351" t="e">
        <f t="shared" ref="T2:T33" si="9">IF($Z$2,S2,NA())</f>
        <v>#N/A</v>
      </c>
      <c r="U2" s="349" t="e">
        <f>NA()</f>
        <v>#N/A</v>
      </c>
      <c r="V2" s="349" t="e">
        <f t="shared" ref="V2:V33" si="10">IF($Z$2,U2,NA())</f>
        <v>#N/A</v>
      </c>
      <c r="W2" s="339"/>
      <c r="X2" s="339" t="b">
        <v>1</v>
      </c>
      <c r="Y2">
        <v>2021</v>
      </c>
      <c r="Z2" s="340" t="b">
        <v>0</v>
      </c>
      <c r="AK2" t="s">
        <v>1531</v>
      </c>
    </row>
    <row r="3" spans="1:37" x14ac:dyDescent="0.25">
      <c r="A3">
        <v>2021</v>
      </c>
      <c r="B3" s="350">
        <v>2</v>
      </c>
      <c r="C3">
        <f>COUNTIFS('Quote Log'!$B:$B,"&lt;&gt;VOID",'Quote Log'!$B:$B,"&lt;&gt;Requoted",'Quote Log'!$C:$C,"&gt;="&amp;DATE(2021,1,3),'Quote Log'!$C:$C,"&lt;="&amp;DATE(2021,1,9))</f>
        <v>0</v>
      </c>
      <c r="D3" t="e">
        <f t="shared" si="0"/>
        <v>#N/A</v>
      </c>
      <c r="E3">
        <f>COUNTIFS('Quote Log'!$B:$B,"&lt;&gt;VOID",'Quote Log'!$B:$B,"&lt;&gt;Requoted",'Quote Log'!$H:$H,"&gt;="&amp;DATE(2021,1,3),'Quote Log'!$H:$H,"&lt;="&amp;DATE(2021,1,9))</f>
        <v>0</v>
      </c>
      <c r="F3" t="e">
        <f t="shared" si="1"/>
        <v>#N/A</v>
      </c>
      <c r="G3">
        <f>COUNTIFS('Quote Log'!$C:$C,"&gt;="&amp;DATE(2021,1,3),'Quote Log'!$C:$C,"&lt;="&amp;DATE(2021,1,9),'Quote Log'!$B:$B,"=Purchased")</f>
        <v>0</v>
      </c>
      <c r="H3" t="e">
        <f t="shared" si="2"/>
        <v>#N/A</v>
      </c>
      <c r="I3" s="339">
        <f t="shared" si="3"/>
        <v>0</v>
      </c>
      <c r="J3" s="339" t="e">
        <f t="shared" si="4"/>
        <v>#N/A</v>
      </c>
      <c r="K3">
        <f>COUNTIFS('Quote Log'!$C:$C,"&gt;="&amp;DATE(2021,1,3),'Quote Log'!$C:$C,"&lt;="&amp;DATE(2021,1,9),'Quote Log'!$B:$B,"=LOST")</f>
        <v>0</v>
      </c>
      <c r="L3">
        <f>COUNTIFS('Quote Log'!$B:$B,"&lt;&gt;VOID",'Quote Log'!$B:$B,"&lt;&gt;Requoted",'Quote Log'!$C:$C,"&gt;="&amp;DATE(2021,1,3),'Quote Log'!$C:$C,"&lt;="&amp;DATE(2021,1,9),'Quote Log'!$V:$V,"=new")</f>
        <v>0</v>
      </c>
      <c r="M3" s="349">
        <f t="shared" si="5"/>
        <v>0</v>
      </c>
      <c r="N3" s="339" t="e">
        <f t="shared" si="6"/>
        <v>#N/A</v>
      </c>
      <c r="O3" s="351">
        <f>SUMIFS('Quote Log'!$AB:$AB,'Quote Log'!$C:$C,"&gt;="&amp;DATE(2021,1,3),'Quote Log'!$C:$C,"&lt;="&amp;DATE(2021,1,9),'Quote Log'!$B:$B,"=Purchased",'Quote Log'!$AB:$AB,"&lt;&gt;#VALUE!")</f>
        <v>0</v>
      </c>
      <c r="P3" s="351" t="e">
        <f t="shared" si="7"/>
        <v>#N/A</v>
      </c>
      <c r="Q3" s="349" t="e">
        <f>NA()</f>
        <v>#N/A</v>
      </c>
      <c r="R3" s="349" t="e">
        <f t="shared" si="8"/>
        <v>#N/A</v>
      </c>
      <c r="S3" s="351">
        <f t="shared" ref="S3:S34" si="11">O3+S2</f>
        <v>0</v>
      </c>
      <c r="T3" s="351" t="e">
        <f t="shared" si="9"/>
        <v>#N/A</v>
      </c>
      <c r="U3" s="349" t="e">
        <f>NA()</f>
        <v>#N/A</v>
      </c>
      <c r="V3" s="349" t="e">
        <f t="shared" si="10"/>
        <v>#N/A</v>
      </c>
      <c r="W3" s="339"/>
      <c r="X3" s="339" t="b">
        <v>0</v>
      </c>
      <c r="Y3">
        <v>2022</v>
      </c>
      <c r="Z3" s="340" t="b">
        <v>0</v>
      </c>
      <c r="AK3" t="s">
        <v>1532</v>
      </c>
    </row>
    <row r="4" spans="1:37" x14ac:dyDescent="0.25">
      <c r="A4">
        <v>2021</v>
      </c>
      <c r="B4" s="350">
        <v>3</v>
      </c>
      <c r="C4">
        <f>COUNTIFS('Quote Log'!$B:$B,"&lt;&gt;VOID",'Quote Log'!$B:$B,"&lt;&gt;Requoted",'Quote Log'!$C:$C,"&gt;="&amp;DATE(2021,1,10),'Quote Log'!$C:$C,"&lt;="&amp;DATE(2021,1,16))</f>
        <v>0</v>
      </c>
      <c r="D4" t="e">
        <f t="shared" si="0"/>
        <v>#N/A</v>
      </c>
      <c r="E4">
        <f>COUNTIFS('Quote Log'!$B:$B,"&lt;&gt;VOID",'Quote Log'!$B:$B,"&lt;&gt;Requoted",'Quote Log'!$H:$H,"&gt;="&amp;DATE(2021,1,10),'Quote Log'!$H:$H,"&lt;="&amp;DATE(2021,1,16))</f>
        <v>0</v>
      </c>
      <c r="F4" t="e">
        <f t="shared" si="1"/>
        <v>#N/A</v>
      </c>
      <c r="G4">
        <f>COUNTIFS('Quote Log'!$C:$C,"&gt;="&amp;DATE(2021,1,10),'Quote Log'!$C:$C,"&lt;="&amp;DATE(2021,1,16),'Quote Log'!$B:$B,"=Purchased")</f>
        <v>0</v>
      </c>
      <c r="H4" t="e">
        <f t="shared" si="2"/>
        <v>#N/A</v>
      </c>
      <c r="I4" s="339">
        <f t="shared" si="3"/>
        <v>0</v>
      </c>
      <c r="J4" s="339" t="e">
        <f t="shared" si="4"/>
        <v>#N/A</v>
      </c>
      <c r="K4">
        <f>COUNTIFS('Quote Log'!$C:$C,"&gt;="&amp;DATE(2021,1,10),'Quote Log'!$C:$C,"&lt;="&amp;DATE(2021,1,16),'Quote Log'!$B:$B,"=LOST")</f>
        <v>0</v>
      </c>
      <c r="L4">
        <f>COUNTIFS('Quote Log'!$B:$B,"&lt;&gt;VOID",'Quote Log'!$B:$B,"&lt;&gt;Requoted",'Quote Log'!$C:$C,"&gt;="&amp;DATE(2021,1,10),'Quote Log'!$C:$C,"&lt;="&amp;DATE(2021,1,16),'Quote Log'!$V:$V,"=new")</f>
        <v>0</v>
      </c>
      <c r="M4" s="349">
        <f t="shared" si="5"/>
        <v>0</v>
      </c>
      <c r="N4" s="339" t="e">
        <f t="shared" si="6"/>
        <v>#N/A</v>
      </c>
      <c r="O4" s="351">
        <f>SUMIFS('Quote Log'!$AB:$AB,'Quote Log'!$C:$C,"&gt;="&amp;DATE(2021,1,10),'Quote Log'!$C:$C,"&lt;="&amp;DATE(2021,1,16),'Quote Log'!$B:$B,"=Purchased",'Quote Log'!$AB:$AB,"&lt;&gt;#VALUE!")</f>
        <v>0</v>
      </c>
      <c r="P4" s="351" t="e">
        <f t="shared" si="7"/>
        <v>#N/A</v>
      </c>
      <c r="Q4" s="349" t="e">
        <f>NA()</f>
        <v>#N/A</v>
      </c>
      <c r="R4" s="349" t="e">
        <f t="shared" si="8"/>
        <v>#N/A</v>
      </c>
      <c r="S4" s="351">
        <f t="shared" si="11"/>
        <v>0</v>
      </c>
      <c r="T4" s="351" t="e">
        <f t="shared" si="9"/>
        <v>#N/A</v>
      </c>
      <c r="U4" s="349" t="e">
        <f>NA()</f>
        <v>#N/A</v>
      </c>
      <c r="V4" s="349" t="e">
        <f t="shared" si="10"/>
        <v>#N/A</v>
      </c>
      <c r="W4" s="339"/>
      <c r="X4" s="339"/>
      <c r="Y4">
        <v>2023</v>
      </c>
      <c r="Z4" s="340" t="b">
        <v>0</v>
      </c>
      <c r="AK4" t="s">
        <v>1533</v>
      </c>
    </row>
    <row r="5" spans="1:37" x14ac:dyDescent="0.25">
      <c r="A5">
        <v>2021</v>
      </c>
      <c r="B5" s="350">
        <v>4</v>
      </c>
      <c r="C5">
        <f>COUNTIFS('Quote Log'!$B:$B,"&lt;&gt;VOID",'Quote Log'!$B:$B,"&lt;&gt;Requoted",'Quote Log'!$C:$C,"&gt;="&amp;DATE(2021,1,17),'Quote Log'!$C:$C,"&lt;="&amp;DATE(2021,1,23))</f>
        <v>0</v>
      </c>
      <c r="D5" t="e">
        <f t="shared" si="0"/>
        <v>#N/A</v>
      </c>
      <c r="E5">
        <f>COUNTIFS('Quote Log'!$B:$B,"&lt;&gt;VOID",'Quote Log'!$B:$B,"&lt;&gt;Requoted",'Quote Log'!$H:$H,"&gt;="&amp;DATE(2021,1,17),'Quote Log'!$H:$H,"&lt;="&amp;DATE(2021,1,23))</f>
        <v>0</v>
      </c>
      <c r="F5" t="e">
        <f t="shared" si="1"/>
        <v>#N/A</v>
      </c>
      <c r="G5">
        <f>COUNTIFS('Quote Log'!$C:$C,"&gt;="&amp;DATE(2021,1,17),'Quote Log'!$C:$C,"&lt;="&amp;DATE(2021,1,23),'Quote Log'!$B:$B,"=Purchased")</f>
        <v>0</v>
      </c>
      <c r="H5" t="e">
        <f t="shared" si="2"/>
        <v>#N/A</v>
      </c>
      <c r="I5" s="339">
        <f t="shared" si="3"/>
        <v>0</v>
      </c>
      <c r="J5" s="339" t="e">
        <f t="shared" si="4"/>
        <v>#N/A</v>
      </c>
      <c r="K5">
        <f>COUNTIFS('Quote Log'!$C:$C,"&gt;="&amp;DATE(2021,1,17),'Quote Log'!$C:$C,"&lt;="&amp;DATE(2021,1,23),'Quote Log'!$B:$B,"=LOST")</f>
        <v>0</v>
      </c>
      <c r="L5">
        <f>COUNTIFS('Quote Log'!$B:$B,"&lt;&gt;VOID",'Quote Log'!$B:$B,"&lt;&gt;Requoted",'Quote Log'!$C:$C,"&gt;="&amp;DATE(2021,1,17),'Quote Log'!$C:$C,"&lt;="&amp;DATE(2021,1,23),'Quote Log'!$V:$V,"=new")</f>
        <v>0</v>
      </c>
      <c r="M5" s="349">
        <f t="shared" si="5"/>
        <v>0</v>
      </c>
      <c r="N5" s="339" t="e">
        <f t="shared" si="6"/>
        <v>#N/A</v>
      </c>
      <c r="O5" s="351">
        <f>SUMIFS('Quote Log'!$AB:$AB,'Quote Log'!$C:$C,"&gt;="&amp;DATE(2021,1,17),'Quote Log'!$C:$C,"&lt;="&amp;DATE(2021,1,23),'Quote Log'!$B:$B,"=Purchased",'Quote Log'!$AB:$AB,"&lt;&gt;#VALUE!")</f>
        <v>0</v>
      </c>
      <c r="P5" s="351" t="e">
        <f t="shared" si="7"/>
        <v>#N/A</v>
      </c>
      <c r="Q5" s="349" t="e">
        <f>NA()</f>
        <v>#N/A</v>
      </c>
      <c r="R5" s="349" t="e">
        <f t="shared" si="8"/>
        <v>#N/A</v>
      </c>
      <c r="S5" s="351">
        <f t="shared" si="11"/>
        <v>0</v>
      </c>
      <c r="T5" s="351" t="e">
        <f t="shared" si="9"/>
        <v>#N/A</v>
      </c>
      <c r="U5" s="349" t="e">
        <f>NA()</f>
        <v>#N/A</v>
      </c>
      <c r="V5" s="349" t="e">
        <f t="shared" si="10"/>
        <v>#N/A</v>
      </c>
      <c r="W5" s="339"/>
      <c r="X5" s="339"/>
      <c r="Y5">
        <v>2024</v>
      </c>
      <c r="Z5" s="340" t="b">
        <v>1</v>
      </c>
      <c r="AK5" t="s">
        <v>354</v>
      </c>
    </row>
    <row r="6" spans="1:37" x14ac:dyDescent="0.25">
      <c r="A6">
        <v>2021</v>
      </c>
      <c r="B6" s="350">
        <v>5</v>
      </c>
      <c r="C6">
        <f>COUNTIFS('Quote Log'!$B:$B,"&lt;&gt;VOID",'Quote Log'!$B:$B,"&lt;&gt;Requoted",'Quote Log'!$C:$C,"&gt;="&amp;DATE(2021,1,24),'Quote Log'!$C:$C,"&lt;="&amp;DATE(2021,1,30))</f>
        <v>0</v>
      </c>
      <c r="D6" t="e">
        <f t="shared" si="0"/>
        <v>#N/A</v>
      </c>
      <c r="E6">
        <f>COUNTIFS('Quote Log'!$B:$B,"&lt;&gt;VOID",'Quote Log'!$B:$B,"&lt;&gt;Requoted",'Quote Log'!$H:$H,"&gt;="&amp;DATE(2021,1,24),'Quote Log'!$H:$H,"&lt;="&amp;DATE(2021,1,30))</f>
        <v>0</v>
      </c>
      <c r="F6" t="e">
        <f t="shared" si="1"/>
        <v>#N/A</v>
      </c>
      <c r="G6">
        <f>COUNTIFS('Quote Log'!$C:$C,"&gt;="&amp;DATE(2021,1,24),'Quote Log'!$C:$C,"&lt;="&amp;DATE(2021,1,30),'Quote Log'!$B:$B,"=Purchased")</f>
        <v>0</v>
      </c>
      <c r="H6" t="e">
        <f t="shared" si="2"/>
        <v>#N/A</v>
      </c>
      <c r="I6" s="339">
        <f t="shared" si="3"/>
        <v>0</v>
      </c>
      <c r="J6" s="339" t="e">
        <f t="shared" si="4"/>
        <v>#N/A</v>
      </c>
      <c r="K6">
        <f>COUNTIFS('Quote Log'!$C:$C,"&gt;="&amp;DATE(2021,1,24),'Quote Log'!$C:$C,"&lt;="&amp;DATE(2021,1,30),'Quote Log'!$B:$B,"=LOST")</f>
        <v>0</v>
      </c>
      <c r="L6">
        <f>COUNTIFS('Quote Log'!$B:$B,"&lt;&gt;VOID",'Quote Log'!$B:$B,"&lt;&gt;Requoted",'Quote Log'!$C:$C,"&gt;="&amp;DATE(2021,1,24),'Quote Log'!$C:$C,"&lt;="&amp;DATE(2021,1,30),'Quote Log'!$V:$V,"=new")</f>
        <v>0</v>
      </c>
      <c r="M6" s="349">
        <f t="shared" si="5"/>
        <v>0</v>
      </c>
      <c r="N6" s="339" t="e">
        <f t="shared" si="6"/>
        <v>#N/A</v>
      </c>
      <c r="O6" s="351">
        <f>SUMIFS('Quote Log'!$AB:$AB,'Quote Log'!$C:$C,"&gt;="&amp;DATE(2021,1,24),'Quote Log'!$C:$C,"&lt;="&amp;DATE(2021,1,30),'Quote Log'!$B:$B,"=Purchased",'Quote Log'!$AB:$AB,"&lt;&gt;#VALUE!")</f>
        <v>0</v>
      </c>
      <c r="P6" s="351" t="e">
        <f t="shared" si="7"/>
        <v>#N/A</v>
      </c>
      <c r="Q6" s="349" t="e">
        <f>NA()</f>
        <v>#N/A</v>
      </c>
      <c r="R6" s="349" t="e">
        <f t="shared" si="8"/>
        <v>#N/A</v>
      </c>
      <c r="S6" s="351">
        <f t="shared" si="11"/>
        <v>0</v>
      </c>
      <c r="T6" s="351" t="e">
        <f t="shared" si="9"/>
        <v>#N/A</v>
      </c>
      <c r="U6" s="349" t="e">
        <f>NA()</f>
        <v>#N/A</v>
      </c>
      <c r="V6" s="349" t="e">
        <f t="shared" si="10"/>
        <v>#N/A</v>
      </c>
      <c r="W6" s="339"/>
      <c r="X6" s="339"/>
      <c r="Y6">
        <v>2025</v>
      </c>
      <c r="Z6" s="340" t="b">
        <v>1</v>
      </c>
      <c r="AK6" t="s">
        <v>392</v>
      </c>
    </row>
    <row r="7" spans="1:37" x14ac:dyDescent="0.25">
      <c r="A7">
        <v>2021</v>
      </c>
      <c r="B7" s="350">
        <v>6</v>
      </c>
      <c r="C7">
        <f>COUNTIFS('Quote Log'!$B:$B,"&lt;&gt;VOID",'Quote Log'!$B:$B,"&lt;&gt;Requoted",'Quote Log'!$C:$C,"&gt;="&amp;DATE(2021,1,31),'Quote Log'!$C:$C,"&lt;="&amp;DATE(2021,2,6))</f>
        <v>0</v>
      </c>
      <c r="D7" t="e">
        <f t="shared" si="0"/>
        <v>#N/A</v>
      </c>
      <c r="E7">
        <f>COUNTIFS('Quote Log'!$B:$B,"&lt;&gt;VOID",'Quote Log'!$B:$B,"&lt;&gt;Requoted",'Quote Log'!$H:$H,"&gt;="&amp;DATE(2021,1,31),'Quote Log'!$H:$H,"&lt;="&amp;DATE(2021,2,6))</f>
        <v>0</v>
      </c>
      <c r="F7" t="e">
        <f t="shared" si="1"/>
        <v>#N/A</v>
      </c>
      <c r="G7">
        <f>COUNTIFS('Quote Log'!$C:$C,"&gt;="&amp;DATE(2021,1,31),'Quote Log'!$C:$C,"&lt;="&amp;DATE(2021,2,6),'Quote Log'!$B:$B,"=Purchased")</f>
        <v>0</v>
      </c>
      <c r="H7" t="e">
        <f t="shared" si="2"/>
        <v>#N/A</v>
      </c>
      <c r="I7" s="339">
        <f t="shared" si="3"/>
        <v>0</v>
      </c>
      <c r="J7" s="339" t="e">
        <f t="shared" si="4"/>
        <v>#N/A</v>
      </c>
      <c r="K7">
        <f>COUNTIFS('Quote Log'!$C:$C,"&gt;="&amp;DATE(2021,1,31),'Quote Log'!$C:$C,"&lt;="&amp;DATE(2021,2,6),'Quote Log'!$B:$B,"=LOST")</f>
        <v>0</v>
      </c>
      <c r="L7">
        <f>COUNTIFS('Quote Log'!$B:$B,"&lt;&gt;VOID",'Quote Log'!$B:$B,"&lt;&gt;Requoted",'Quote Log'!$C:$C,"&gt;="&amp;DATE(2021,1,31),'Quote Log'!$C:$C,"&lt;="&amp;DATE(2021,2,6),'Quote Log'!$V:$V,"=new")</f>
        <v>0</v>
      </c>
      <c r="M7" s="349">
        <f t="shared" si="5"/>
        <v>0</v>
      </c>
      <c r="N7" s="339" t="e">
        <f t="shared" si="6"/>
        <v>#N/A</v>
      </c>
      <c r="O7" s="351">
        <f>SUMIFS('Quote Log'!$AB:$AB,'Quote Log'!$C:$C,"&gt;="&amp;DATE(2021,1,31),'Quote Log'!$C:$C,"&lt;="&amp;DATE(2021,2,6),'Quote Log'!$B:$B,"=Purchased",'Quote Log'!$AB:$AB,"&lt;&gt;#VALUE!")</f>
        <v>0</v>
      </c>
      <c r="P7" s="351" t="e">
        <f t="shared" si="7"/>
        <v>#N/A</v>
      </c>
      <c r="Q7" s="349" t="e">
        <f>NA()</f>
        <v>#N/A</v>
      </c>
      <c r="R7" s="349" t="e">
        <f t="shared" si="8"/>
        <v>#N/A</v>
      </c>
      <c r="S7" s="351">
        <f t="shared" si="11"/>
        <v>0</v>
      </c>
      <c r="T7" s="351" t="e">
        <f t="shared" si="9"/>
        <v>#N/A</v>
      </c>
      <c r="U7" s="349" t="e">
        <f>NA()</f>
        <v>#N/A</v>
      </c>
      <c r="V7" s="349" t="e">
        <f t="shared" si="10"/>
        <v>#N/A</v>
      </c>
      <c r="W7" s="339"/>
      <c r="X7" s="339"/>
      <c r="AK7" t="s">
        <v>1535</v>
      </c>
    </row>
    <row r="8" spans="1:37" x14ac:dyDescent="0.25">
      <c r="A8">
        <v>2021</v>
      </c>
      <c r="B8" s="350">
        <v>7</v>
      </c>
      <c r="C8">
        <f>COUNTIFS('Quote Log'!$B:$B,"&lt;&gt;VOID",'Quote Log'!$B:$B,"&lt;&gt;Requoted",'Quote Log'!$C:$C,"&gt;="&amp;DATE(2021,2,7),'Quote Log'!$C:$C,"&lt;="&amp;DATE(2021,2,13))</f>
        <v>0</v>
      </c>
      <c r="D8" t="e">
        <f t="shared" si="0"/>
        <v>#N/A</v>
      </c>
      <c r="E8">
        <f>COUNTIFS('Quote Log'!$B:$B,"&lt;&gt;VOID",'Quote Log'!$B:$B,"&lt;&gt;Requoted",'Quote Log'!$H:$H,"&gt;="&amp;DATE(2021,2,7),'Quote Log'!$H:$H,"&lt;="&amp;DATE(2021,2,13))</f>
        <v>0</v>
      </c>
      <c r="F8" t="e">
        <f t="shared" si="1"/>
        <v>#N/A</v>
      </c>
      <c r="G8">
        <f>COUNTIFS('Quote Log'!$C:$C,"&gt;="&amp;DATE(2021,2,7),'Quote Log'!$C:$C,"&lt;="&amp;DATE(2021,2,13),'Quote Log'!$B:$B,"=Purchased")</f>
        <v>0</v>
      </c>
      <c r="H8" t="e">
        <f t="shared" si="2"/>
        <v>#N/A</v>
      </c>
      <c r="I8" s="339">
        <f t="shared" si="3"/>
        <v>0</v>
      </c>
      <c r="J8" s="339" t="e">
        <f t="shared" si="4"/>
        <v>#N/A</v>
      </c>
      <c r="K8">
        <f>COUNTIFS('Quote Log'!$C:$C,"&gt;="&amp;DATE(2021,2,7),'Quote Log'!$C:$C,"&lt;="&amp;DATE(2021,2,13),'Quote Log'!$B:$B,"=LOST")</f>
        <v>0</v>
      </c>
      <c r="L8">
        <f>COUNTIFS('Quote Log'!$B:$B,"&lt;&gt;VOID",'Quote Log'!$B:$B,"&lt;&gt;Requoted",'Quote Log'!$C:$C,"&gt;="&amp;DATE(2021,2,7),'Quote Log'!$C:$C,"&lt;="&amp;DATE(2021,2,13),'Quote Log'!$V:$V,"=new")</f>
        <v>0</v>
      </c>
      <c r="M8" s="349">
        <f t="shared" si="5"/>
        <v>0</v>
      </c>
      <c r="N8" s="339" t="e">
        <f t="shared" si="6"/>
        <v>#N/A</v>
      </c>
      <c r="O8" s="351">
        <f>SUMIFS('Quote Log'!$AB:$AB,'Quote Log'!$C:$C,"&gt;="&amp;DATE(2021,2,7),'Quote Log'!$C:$C,"&lt;="&amp;DATE(2021,2,13),'Quote Log'!$B:$B,"=Purchased",'Quote Log'!$AB:$AB,"&lt;&gt;#VALUE!")</f>
        <v>0</v>
      </c>
      <c r="P8" s="351" t="e">
        <f t="shared" si="7"/>
        <v>#N/A</v>
      </c>
      <c r="Q8" s="349" t="e">
        <f>NA()</f>
        <v>#N/A</v>
      </c>
      <c r="R8" s="349" t="e">
        <f t="shared" si="8"/>
        <v>#N/A</v>
      </c>
      <c r="S8" s="351">
        <f t="shared" si="11"/>
        <v>0</v>
      </c>
      <c r="T8" s="351" t="e">
        <f t="shared" si="9"/>
        <v>#N/A</v>
      </c>
      <c r="U8" s="349" t="e">
        <f>NA()</f>
        <v>#N/A</v>
      </c>
      <c r="V8" s="349" t="e">
        <f t="shared" si="10"/>
        <v>#N/A</v>
      </c>
      <c r="W8" s="339"/>
      <c r="X8" s="339"/>
      <c r="AK8" t="s">
        <v>1536</v>
      </c>
    </row>
    <row r="9" spans="1:37" x14ac:dyDescent="0.25">
      <c r="A9">
        <v>2021</v>
      </c>
      <c r="B9" s="350">
        <v>8</v>
      </c>
      <c r="C9">
        <f>COUNTIFS('Quote Log'!$B:$B,"&lt;&gt;VOID",'Quote Log'!$B:$B,"&lt;&gt;Requoted",'Quote Log'!$C:$C,"&gt;="&amp;DATE(2021,2,14),'Quote Log'!$C:$C,"&lt;="&amp;DATE(2021,2,20))</f>
        <v>0</v>
      </c>
      <c r="D9" t="e">
        <f t="shared" si="0"/>
        <v>#N/A</v>
      </c>
      <c r="E9">
        <f>COUNTIFS('Quote Log'!$B:$B,"&lt;&gt;VOID",'Quote Log'!$B:$B,"&lt;&gt;Requoted",'Quote Log'!$H:$H,"&gt;="&amp;DATE(2021,2,14),'Quote Log'!$H:$H,"&lt;="&amp;DATE(2021,2,20))</f>
        <v>0</v>
      </c>
      <c r="F9" t="e">
        <f t="shared" si="1"/>
        <v>#N/A</v>
      </c>
      <c r="G9">
        <f>COUNTIFS('Quote Log'!$C:$C,"&gt;="&amp;DATE(2021,2,14),'Quote Log'!$C:$C,"&lt;="&amp;DATE(2021,2,20),'Quote Log'!$B:$B,"=Purchased")</f>
        <v>0</v>
      </c>
      <c r="H9" t="e">
        <f t="shared" si="2"/>
        <v>#N/A</v>
      </c>
      <c r="I9" s="339">
        <f t="shared" si="3"/>
        <v>0</v>
      </c>
      <c r="J9" s="339" t="e">
        <f t="shared" si="4"/>
        <v>#N/A</v>
      </c>
      <c r="K9">
        <f>COUNTIFS('Quote Log'!$C:$C,"&gt;="&amp;DATE(2021,2,14),'Quote Log'!$C:$C,"&lt;="&amp;DATE(2021,2,20),'Quote Log'!$B:$B,"=LOST")</f>
        <v>0</v>
      </c>
      <c r="L9">
        <f>COUNTIFS('Quote Log'!$B:$B,"&lt;&gt;VOID",'Quote Log'!$B:$B,"&lt;&gt;Requoted",'Quote Log'!$C:$C,"&gt;="&amp;DATE(2021,2,14),'Quote Log'!$C:$C,"&lt;="&amp;DATE(2021,2,20),'Quote Log'!$V:$V,"=new")</f>
        <v>0</v>
      </c>
      <c r="M9" s="349">
        <f t="shared" si="5"/>
        <v>0</v>
      </c>
      <c r="N9" s="339" t="e">
        <f t="shared" si="6"/>
        <v>#N/A</v>
      </c>
      <c r="O9" s="351">
        <f>SUMIFS('Quote Log'!$AB:$AB,'Quote Log'!$C:$C,"&gt;="&amp;DATE(2021,2,14),'Quote Log'!$C:$C,"&lt;="&amp;DATE(2021,2,20),'Quote Log'!$B:$B,"=Purchased",'Quote Log'!$AB:$AB,"&lt;&gt;#VALUE!")</f>
        <v>0</v>
      </c>
      <c r="P9" s="351" t="e">
        <f t="shared" si="7"/>
        <v>#N/A</v>
      </c>
      <c r="Q9" s="349" t="e">
        <f>NA()</f>
        <v>#N/A</v>
      </c>
      <c r="R9" s="349" t="e">
        <f t="shared" si="8"/>
        <v>#N/A</v>
      </c>
      <c r="S9" s="351">
        <f t="shared" si="11"/>
        <v>0</v>
      </c>
      <c r="T9" s="351" t="e">
        <f t="shared" si="9"/>
        <v>#N/A</v>
      </c>
      <c r="U9" s="349" t="e">
        <f>NA()</f>
        <v>#N/A</v>
      </c>
      <c r="V9" s="349" t="e">
        <f t="shared" si="10"/>
        <v>#N/A</v>
      </c>
      <c r="W9" s="339"/>
      <c r="X9" s="339"/>
      <c r="AK9" t="s">
        <v>330</v>
      </c>
    </row>
    <row r="10" spans="1:37" x14ac:dyDescent="0.25">
      <c r="A10">
        <v>2021</v>
      </c>
      <c r="B10" s="350">
        <v>9</v>
      </c>
      <c r="C10">
        <f>COUNTIFS('Quote Log'!$B:$B,"&lt;&gt;VOID",'Quote Log'!$B:$B,"&lt;&gt;Requoted",'Quote Log'!$C:$C,"&gt;="&amp;DATE(2021,2,21),'Quote Log'!$C:$C,"&lt;="&amp;DATE(2021,2,27))</f>
        <v>0</v>
      </c>
      <c r="D10" t="e">
        <f t="shared" si="0"/>
        <v>#N/A</v>
      </c>
      <c r="E10">
        <f>COUNTIFS('Quote Log'!$B:$B,"&lt;&gt;VOID",'Quote Log'!$B:$B,"&lt;&gt;Requoted",'Quote Log'!$H:$H,"&gt;="&amp;DATE(2021,2,21),'Quote Log'!$H:$H,"&lt;="&amp;DATE(2021,2,27))</f>
        <v>0</v>
      </c>
      <c r="F10" t="e">
        <f t="shared" si="1"/>
        <v>#N/A</v>
      </c>
      <c r="G10">
        <f>COUNTIFS('Quote Log'!$C:$C,"&gt;="&amp;DATE(2021,2,21),'Quote Log'!$C:$C,"&lt;="&amp;DATE(2021,2,27),'Quote Log'!$B:$B,"=Purchased")</f>
        <v>0</v>
      </c>
      <c r="H10" t="e">
        <f t="shared" si="2"/>
        <v>#N/A</v>
      </c>
      <c r="I10" s="339">
        <f t="shared" si="3"/>
        <v>0</v>
      </c>
      <c r="J10" s="339" t="e">
        <f t="shared" si="4"/>
        <v>#N/A</v>
      </c>
      <c r="K10">
        <f>COUNTIFS('Quote Log'!$C:$C,"&gt;="&amp;DATE(2021,2,21),'Quote Log'!$C:$C,"&lt;="&amp;DATE(2021,2,27),'Quote Log'!$B:$B,"=LOST")</f>
        <v>0</v>
      </c>
      <c r="L10">
        <f>COUNTIFS('Quote Log'!$B:$B,"&lt;&gt;VOID",'Quote Log'!$B:$B,"&lt;&gt;Requoted",'Quote Log'!$C:$C,"&gt;="&amp;DATE(2021,2,21),'Quote Log'!$C:$C,"&lt;="&amp;DATE(2021,2,27),'Quote Log'!$V:$V,"=new")</f>
        <v>0</v>
      </c>
      <c r="M10" s="349">
        <f t="shared" si="5"/>
        <v>0</v>
      </c>
      <c r="N10" s="339" t="e">
        <f t="shared" si="6"/>
        <v>#N/A</v>
      </c>
      <c r="O10" s="351">
        <f>SUMIFS('Quote Log'!$AB:$AB,'Quote Log'!$C:$C,"&gt;="&amp;DATE(2021,2,21),'Quote Log'!$C:$C,"&lt;="&amp;DATE(2021,2,27),'Quote Log'!$B:$B,"=Purchased",'Quote Log'!$AB:$AB,"&lt;&gt;#VALUE!")</f>
        <v>0</v>
      </c>
      <c r="P10" s="351" t="e">
        <f t="shared" si="7"/>
        <v>#N/A</v>
      </c>
      <c r="Q10" s="349" t="e">
        <f>NA()</f>
        <v>#N/A</v>
      </c>
      <c r="R10" s="349" t="e">
        <f t="shared" si="8"/>
        <v>#N/A</v>
      </c>
      <c r="S10" s="351">
        <f t="shared" si="11"/>
        <v>0</v>
      </c>
      <c r="T10" s="351" t="e">
        <f t="shared" si="9"/>
        <v>#N/A</v>
      </c>
      <c r="U10" s="349" t="e">
        <f>NA()</f>
        <v>#N/A</v>
      </c>
      <c r="V10" s="349" t="e">
        <f t="shared" si="10"/>
        <v>#N/A</v>
      </c>
      <c r="W10" s="339"/>
      <c r="X10" s="339"/>
      <c r="AK10" t="s">
        <v>399</v>
      </c>
    </row>
    <row r="11" spans="1:37" x14ac:dyDescent="0.25">
      <c r="A11">
        <v>2021</v>
      </c>
      <c r="B11" s="350">
        <v>10</v>
      </c>
      <c r="C11">
        <f>COUNTIFS('Quote Log'!$B:$B,"&lt;&gt;VOID",'Quote Log'!$B:$B,"&lt;&gt;Requoted",'Quote Log'!$C:$C,"&gt;="&amp;DATE(2021,2,28),'Quote Log'!$C:$C,"&lt;="&amp;DATE(2021,3,6))</f>
        <v>0</v>
      </c>
      <c r="D11" t="e">
        <f t="shared" si="0"/>
        <v>#N/A</v>
      </c>
      <c r="E11">
        <f>COUNTIFS('Quote Log'!$B:$B,"&lt;&gt;VOID",'Quote Log'!$B:$B,"&lt;&gt;Requoted",'Quote Log'!$H:$H,"&gt;="&amp;DATE(2021,2,28),'Quote Log'!$H:$H,"&lt;="&amp;DATE(2021,3,6))</f>
        <v>0</v>
      </c>
      <c r="F11" t="e">
        <f t="shared" si="1"/>
        <v>#N/A</v>
      </c>
      <c r="G11">
        <f>COUNTIFS('Quote Log'!$C:$C,"&gt;="&amp;DATE(2021,2,28),'Quote Log'!$C:$C,"&lt;="&amp;DATE(2021,3,6),'Quote Log'!$B:$B,"=Purchased")</f>
        <v>0</v>
      </c>
      <c r="H11" t="e">
        <f t="shared" si="2"/>
        <v>#N/A</v>
      </c>
      <c r="I11" s="339">
        <f t="shared" si="3"/>
        <v>0</v>
      </c>
      <c r="J11" s="339" t="e">
        <f t="shared" si="4"/>
        <v>#N/A</v>
      </c>
      <c r="K11">
        <f>COUNTIFS('Quote Log'!$C:$C,"&gt;="&amp;DATE(2021,2,28),'Quote Log'!$C:$C,"&lt;="&amp;DATE(2021,3,6),'Quote Log'!$B:$B,"=LOST")</f>
        <v>0</v>
      </c>
      <c r="L11">
        <f>COUNTIFS('Quote Log'!$B:$B,"&lt;&gt;VOID",'Quote Log'!$B:$B,"&lt;&gt;Requoted",'Quote Log'!$C:$C,"&gt;="&amp;DATE(2021,2,28),'Quote Log'!$C:$C,"&lt;="&amp;DATE(2021,3,6),'Quote Log'!$V:$V,"=new")</f>
        <v>0</v>
      </c>
      <c r="M11" s="349">
        <f t="shared" si="5"/>
        <v>0</v>
      </c>
      <c r="N11" s="339" t="e">
        <f t="shared" si="6"/>
        <v>#N/A</v>
      </c>
      <c r="O11" s="351">
        <f>SUMIFS('Quote Log'!$AB:$AB,'Quote Log'!$C:$C,"&gt;="&amp;DATE(2021,2,28),'Quote Log'!$C:$C,"&lt;="&amp;DATE(2021,3,6),'Quote Log'!$B:$B,"=Purchased",'Quote Log'!$AB:$AB,"&lt;&gt;#VALUE!")</f>
        <v>0</v>
      </c>
      <c r="P11" s="351" t="e">
        <f t="shared" si="7"/>
        <v>#N/A</v>
      </c>
      <c r="Q11" s="349" t="e">
        <f>NA()</f>
        <v>#N/A</v>
      </c>
      <c r="R11" s="349" t="e">
        <f t="shared" si="8"/>
        <v>#N/A</v>
      </c>
      <c r="S11" s="351">
        <f t="shared" si="11"/>
        <v>0</v>
      </c>
      <c r="T11" s="351" t="e">
        <f t="shared" si="9"/>
        <v>#N/A</v>
      </c>
      <c r="U11" s="349" t="e">
        <f>NA()</f>
        <v>#N/A</v>
      </c>
      <c r="V11" s="349" t="e">
        <f t="shared" si="10"/>
        <v>#N/A</v>
      </c>
      <c r="W11" s="339"/>
      <c r="X11" s="339"/>
      <c r="AK11" t="s">
        <v>1537</v>
      </c>
    </row>
    <row r="12" spans="1:37" x14ac:dyDescent="0.25">
      <c r="A12">
        <v>2021</v>
      </c>
      <c r="B12" s="350">
        <v>11</v>
      </c>
      <c r="C12">
        <f>COUNTIFS('Quote Log'!$B:$B,"&lt;&gt;VOID",'Quote Log'!$B:$B,"&lt;&gt;Requoted",'Quote Log'!$C:$C,"&gt;="&amp;DATE(2021,3,7),'Quote Log'!$C:$C,"&lt;="&amp;DATE(2021,3,13))</f>
        <v>0</v>
      </c>
      <c r="D12" t="e">
        <f t="shared" si="0"/>
        <v>#N/A</v>
      </c>
      <c r="E12">
        <f>COUNTIFS('Quote Log'!$B:$B,"&lt;&gt;VOID",'Quote Log'!$B:$B,"&lt;&gt;Requoted",'Quote Log'!$H:$H,"&gt;="&amp;DATE(2021,3,7),'Quote Log'!$H:$H,"&lt;="&amp;DATE(2021,3,13))</f>
        <v>0</v>
      </c>
      <c r="F12" t="e">
        <f t="shared" si="1"/>
        <v>#N/A</v>
      </c>
      <c r="G12">
        <f>COUNTIFS('Quote Log'!$C:$C,"&gt;="&amp;DATE(2021,3,7),'Quote Log'!$C:$C,"&lt;="&amp;DATE(2021,3,13),'Quote Log'!$B:$B,"=Purchased")</f>
        <v>0</v>
      </c>
      <c r="H12" t="e">
        <f t="shared" si="2"/>
        <v>#N/A</v>
      </c>
      <c r="I12" s="339">
        <f t="shared" si="3"/>
        <v>0</v>
      </c>
      <c r="J12" s="339" t="e">
        <f t="shared" si="4"/>
        <v>#N/A</v>
      </c>
      <c r="K12">
        <f>COUNTIFS('Quote Log'!$C:$C,"&gt;="&amp;DATE(2021,3,7),'Quote Log'!$C:$C,"&lt;="&amp;DATE(2021,3,13),'Quote Log'!$B:$B,"=LOST")</f>
        <v>0</v>
      </c>
      <c r="L12">
        <f>COUNTIFS('Quote Log'!$B:$B,"&lt;&gt;VOID",'Quote Log'!$B:$B,"&lt;&gt;Requoted",'Quote Log'!$C:$C,"&gt;="&amp;DATE(2021,3,7),'Quote Log'!$C:$C,"&lt;="&amp;DATE(2021,3,13),'Quote Log'!$V:$V,"=new")</f>
        <v>0</v>
      </c>
      <c r="M12" s="349">
        <f t="shared" si="5"/>
        <v>0</v>
      </c>
      <c r="N12" s="339" t="e">
        <f t="shared" si="6"/>
        <v>#N/A</v>
      </c>
      <c r="O12" s="351">
        <f>SUMIFS('Quote Log'!$AB:$AB,'Quote Log'!$C:$C,"&gt;="&amp;DATE(2021,3,7),'Quote Log'!$C:$C,"&lt;="&amp;DATE(2021,3,13),'Quote Log'!$B:$B,"=Purchased",'Quote Log'!$AB:$AB,"&lt;&gt;#VALUE!")</f>
        <v>0</v>
      </c>
      <c r="P12" s="351" t="e">
        <f t="shared" si="7"/>
        <v>#N/A</v>
      </c>
      <c r="Q12" s="349" t="e">
        <f>NA()</f>
        <v>#N/A</v>
      </c>
      <c r="R12" s="349" t="e">
        <f t="shared" si="8"/>
        <v>#N/A</v>
      </c>
      <c r="S12" s="351">
        <f t="shared" si="11"/>
        <v>0</v>
      </c>
      <c r="T12" s="351" t="e">
        <f t="shared" si="9"/>
        <v>#N/A</v>
      </c>
      <c r="U12" s="349" t="e">
        <f>NA()</f>
        <v>#N/A</v>
      </c>
      <c r="V12" s="349" t="e">
        <f t="shared" si="10"/>
        <v>#N/A</v>
      </c>
      <c r="W12" s="339"/>
      <c r="X12" s="339"/>
      <c r="AK12" t="s">
        <v>1538</v>
      </c>
    </row>
    <row r="13" spans="1:37" x14ac:dyDescent="0.25">
      <c r="A13">
        <v>2021</v>
      </c>
      <c r="B13" s="350">
        <v>12</v>
      </c>
      <c r="C13">
        <f>COUNTIFS('Quote Log'!$B:$B,"&lt;&gt;VOID",'Quote Log'!$B:$B,"&lt;&gt;Requoted",'Quote Log'!$C:$C,"&gt;="&amp;DATE(2021,3,14),'Quote Log'!$C:$C,"&lt;="&amp;DATE(2021,3,20))</f>
        <v>0</v>
      </c>
      <c r="D13" t="e">
        <f t="shared" si="0"/>
        <v>#N/A</v>
      </c>
      <c r="E13">
        <f>COUNTIFS('Quote Log'!$B:$B,"&lt;&gt;VOID",'Quote Log'!$B:$B,"&lt;&gt;Requoted",'Quote Log'!$H:$H,"&gt;="&amp;DATE(2021,3,14),'Quote Log'!$H:$H,"&lt;="&amp;DATE(2021,3,20))</f>
        <v>0</v>
      </c>
      <c r="F13" t="e">
        <f t="shared" si="1"/>
        <v>#N/A</v>
      </c>
      <c r="G13">
        <f>COUNTIFS('Quote Log'!$C:$C,"&gt;="&amp;DATE(2021,3,14),'Quote Log'!$C:$C,"&lt;="&amp;DATE(2021,3,20),'Quote Log'!$B:$B,"=Purchased")</f>
        <v>0</v>
      </c>
      <c r="H13" t="e">
        <f t="shared" si="2"/>
        <v>#N/A</v>
      </c>
      <c r="I13" s="339">
        <f t="shared" si="3"/>
        <v>0</v>
      </c>
      <c r="J13" s="339" t="e">
        <f t="shared" si="4"/>
        <v>#N/A</v>
      </c>
      <c r="K13">
        <f>COUNTIFS('Quote Log'!$C:$C,"&gt;="&amp;DATE(2021,3,14),'Quote Log'!$C:$C,"&lt;="&amp;DATE(2021,3,20),'Quote Log'!$B:$B,"=LOST")</f>
        <v>0</v>
      </c>
      <c r="L13">
        <f>COUNTIFS('Quote Log'!$B:$B,"&lt;&gt;VOID",'Quote Log'!$B:$B,"&lt;&gt;Requoted",'Quote Log'!$C:$C,"&gt;="&amp;DATE(2021,3,14),'Quote Log'!$C:$C,"&lt;="&amp;DATE(2021,3,20),'Quote Log'!$V:$V,"=new")</f>
        <v>0</v>
      </c>
      <c r="M13" s="349">
        <f t="shared" si="5"/>
        <v>0</v>
      </c>
      <c r="N13" s="339" t="e">
        <f t="shared" si="6"/>
        <v>#N/A</v>
      </c>
      <c r="O13" s="351">
        <f>SUMIFS('Quote Log'!$AB:$AB,'Quote Log'!$C:$C,"&gt;="&amp;DATE(2021,3,14),'Quote Log'!$C:$C,"&lt;="&amp;DATE(2021,3,20),'Quote Log'!$B:$B,"=Purchased",'Quote Log'!$AB:$AB,"&lt;&gt;#VALUE!")</f>
        <v>0</v>
      </c>
      <c r="P13" s="351" t="e">
        <f t="shared" si="7"/>
        <v>#N/A</v>
      </c>
      <c r="Q13" s="349" t="e">
        <f>NA()</f>
        <v>#N/A</v>
      </c>
      <c r="R13" s="349" t="e">
        <f t="shared" si="8"/>
        <v>#N/A</v>
      </c>
      <c r="S13" s="351">
        <f t="shared" si="11"/>
        <v>0</v>
      </c>
      <c r="T13" s="351" t="e">
        <f t="shared" si="9"/>
        <v>#N/A</v>
      </c>
      <c r="U13" s="349" t="e">
        <f>NA()</f>
        <v>#N/A</v>
      </c>
      <c r="V13" s="349" t="e">
        <f t="shared" si="10"/>
        <v>#N/A</v>
      </c>
      <c r="W13" s="339"/>
      <c r="X13" s="339"/>
      <c r="AK13" t="s">
        <v>1539</v>
      </c>
    </row>
    <row r="14" spans="1:37" x14ac:dyDescent="0.25">
      <c r="A14">
        <v>2021</v>
      </c>
      <c r="B14" s="350">
        <v>13</v>
      </c>
      <c r="C14">
        <f>COUNTIFS('Quote Log'!$B:$B,"&lt;&gt;VOID",'Quote Log'!$B:$B,"&lt;&gt;Requoted",'Quote Log'!$C:$C,"&gt;="&amp;DATE(2021,3,21),'Quote Log'!$C:$C,"&lt;="&amp;DATE(2021,3,27))</f>
        <v>0</v>
      </c>
      <c r="D14" t="e">
        <f t="shared" si="0"/>
        <v>#N/A</v>
      </c>
      <c r="E14">
        <f>COUNTIFS('Quote Log'!$B:$B,"&lt;&gt;VOID",'Quote Log'!$B:$B,"&lt;&gt;Requoted",'Quote Log'!$H:$H,"&gt;="&amp;DATE(2021,3,21),'Quote Log'!$H:$H,"&lt;="&amp;DATE(2021,3,27))</f>
        <v>0</v>
      </c>
      <c r="F14" t="e">
        <f t="shared" si="1"/>
        <v>#N/A</v>
      </c>
      <c r="G14">
        <f>COUNTIFS('Quote Log'!$C:$C,"&gt;="&amp;DATE(2021,3,21),'Quote Log'!$C:$C,"&lt;="&amp;DATE(2021,3,27),'Quote Log'!$B:$B,"=Purchased")</f>
        <v>0</v>
      </c>
      <c r="H14" t="e">
        <f t="shared" si="2"/>
        <v>#N/A</v>
      </c>
      <c r="I14" s="339">
        <f t="shared" si="3"/>
        <v>0</v>
      </c>
      <c r="J14" s="339" t="e">
        <f t="shared" si="4"/>
        <v>#N/A</v>
      </c>
      <c r="K14">
        <f>COUNTIFS('Quote Log'!$C:$C,"&gt;="&amp;DATE(2021,3,21),'Quote Log'!$C:$C,"&lt;="&amp;DATE(2021,3,27),'Quote Log'!$B:$B,"=LOST")</f>
        <v>0</v>
      </c>
      <c r="L14">
        <f>COUNTIFS('Quote Log'!$B:$B,"&lt;&gt;VOID",'Quote Log'!$B:$B,"&lt;&gt;Requoted",'Quote Log'!$C:$C,"&gt;="&amp;DATE(2021,3,21),'Quote Log'!$C:$C,"&lt;="&amp;DATE(2021,3,27),'Quote Log'!$V:$V,"=new")</f>
        <v>0</v>
      </c>
      <c r="M14" s="349">
        <f t="shared" si="5"/>
        <v>0</v>
      </c>
      <c r="N14" s="339" t="e">
        <f t="shared" si="6"/>
        <v>#N/A</v>
      </c>
      <c r="O14" s="351">
        <f>SUMIFS('Quote Log'!$AB:$AB,'Quote Log'!$C:$C,"&gt;="&amp;DATE(2021,3,21),'Quote Log'!$C:$C,"&lt;="&amp;DATE(2021,3,27),'Quote Log'!$B:$B,"=Purchased",'Quote Log'!$AB:$AB,"&lt;&gt;#VALUE!")</f>
        <v>0</v>
      </c>
      <c r="P14" s="351" t="e">
        <f t="shared" si="7"/>
        <v>#N/A</v>
      </c>
      <c r="Q14" s="349" t="e">
        <f>NA()</f>
        <v>#N/A</v>
      </c>
      <c r="R14" s="349" t="e">
        <f t="shared" si="8"/>
        <v>#N/A</v>
      </c>
      <c r="S14" s="351">
        <f t="shared" si="11"/>
        <v>0</v>
      </c>
      <c r="T14" s="351" t="e">
        <f t="shared" si="9"/>
        <v>#N/A</v>
      </c>
      <c r="U14" s="349" t="e">
        <f>NA()</f>
        <v>#N/A</v>
      </c>
      <c r="V14" s="349" t="e">
        <f t="shared" si="10"/>
        <v>#N/A</v>
      </c>
      <c r="W14" s="339"/>
      <c r="X14" s="339"/>
    </row>
    <row r="15" spans="1:37" x14ac:dyDescent="0.25">
      <c r="A15">
        <v>2021</v>
      </c>
      <c r="B15" s="350">
        <v>14</v>
      </c>
      <c r="C15">
        <f>COUNTIFS('Quote Log'!$B:$B,"&lt;&gt;VOID",'Quote Log'!$B:$B,"&lt;&gt;Requoted",'Quote Log'!$C:$C,"&gt;="&amp;DATE(2021,3,28),'Quote Log'!$C:$C,"&lt;="&amp;DATE(2021,4,3))</f>
        <v>0</v>
      </c>
      <c r="D15" t="e">
        <f t="shared" si="0"/>
        <v>#N/A</v>
      </c>
      <c r="E15">
        <f>COUNTIFS('Quote Log'!$B:$B,"&lt;&gt;VOID",'Quote Log'!$B:$B,"&lt;&gt;Requoted",'Quote Log'!$H:$H,"&gt;="&amp;DATE(2021,3,28),'Quote Log'!$H:$H,"&lt;="&amp;DATE(2021,4,3))</f>
        <v>0</v>
      </c>
      <c r="F15" t="e">
        <f t="shared" si="1"/>
        <v>#N/A</v>
      </c>
      <c r="G15">
        <f>COUNTIFS('Quote Log'!$C:$C,"&gt;="&amp;DATE(2021,3,28),'Quote Log'!$C:$C,"&lt;="&amp;DATE(2021,4,3),'Quote Log'!$B:$B,"=Purchased")</f>
        <v>0</v>
      </c>
      <c r="H15" t="e">
        <f t="shared" si="2"/>
        <v>#N/A</v>
      </c>
      <c r="I15" s="339">
        <f t="shared" si="3"/>
        <v>0</v>
      </c>
      <c r="J15" s="339" t="e">
        <f t="shared" si="4"/>
        <v>#N/A</v>
      </c>
      <c r="K15">
        <f>COUNTIFS('Quote Log'!$C:$C,"&gt;="&amp;DATE(2021,3,28),'Quote Log'!$C:$C,"&lt;="&amp;DATE(2021,4,3),'Quote Log'!$B:$B,"=LOST")</f>
        <v>0</v>
      </c>
      <c r="L15">
        <f>COUNTIFS('Quote Log'!$B:$B,"&lt;&gt;VOID",'Quote Log'!$B:$B,"&lt;&gt;Requoted",'Quote Log'!$C:$C,"&gt;="&amp;DATE(2021,3,28),'Quote Log'!$C:$C,"&lt;="&amp;DATE(2021,4,3),'Quote Log'!$V:$V,"=new")</f>
        <v>0</v>
      </c>
      <c r="M15" s="349">
        <f t="shared" si="5"/>
        <v>0</v>
      </c>
      <c r="N15" s="339" t="e">
        <f t="shared" si="6"/>
        <v>#N/A</v>
      </c>
      <c r="O15" s="351">
        <f>SUMIFS('Quote Log'!$AB:$AB,'Quote Log'!$C:$C,"&gt;="&amp;DATE(2021,3,28),'Quote Log'!$C:$C,"&lt;="&amp;DATE(2021,4,3),'Quote Log'!$B:$B,"=Purchased",'Quote Log'!$AB:$AB,"&lt;&gt;#VALUE!")</f>
        <v>0</v>
      </c>
      <c r="P15" s="351" t="e">
        <f t="shared" si="7"/>
        <v>#N/A</v>
      </c>
      <c r="Q15" s="349" t="e">
        <f>NA()</f>
        <v>#N/A</v>
      </c>
      <c r="R15" s="349" t="e">
        <f t="shared" si="8"/>
        <v>#N/A</v>
      </c>
      <c r="S15" s="351">
        <f t="shared" si="11"/>
        <v>0</v>
      </c>
      <c r="T15" s="351" t="e">
        <f t="shared" si="9"/>
        <v>#N/A</v>
      </c>
      <c r="U15" s="349" t="e">
        <f>NA()</f>
        <v>#N/A</v>
      </c>
      <c r="V15" s="349" t="e">
        <f t="shared" si="10"/>
        <v>#N/A</v>
      </c>
      <c r="W15" s="339"/>
      <c r="X15" s="339"/>
      <c r="AI15" t="s">
        <v>1540</v>
      </c>
    </row>
    <row r="16" spans="1:37" x14ac:dyDescent="0.25">
      <c r="A16">
        <v>2021</v>
      </c>
      <c r="B16" s="350">
        <v>15</v>
      </c>
      <c r="C16">
        <f>COUNTIFS('Quote Log'!$B:$B,"&lt;&gt;VOID",'Quote Log'!$B:$B,"&lt;&gt;Requoted",'Quote Log'!$C:$C,"&gt;="&amp;DATE(2021,4,4),'Quote Log'!$C:$C,"&lt;="&amp;DATE(2021,4,10))</f>
        <v>0</v>
      </c>
      <c r="D16" t="e">
        <f t="shared" si="0"/>
        <v>#N/A</v>
      </c>
      <c r="E16">
        <f>COUNTIFS('Quote Log'!$B:$B,"&lt;&gt;VOID",'Quote Log'!$B:$B,"&lt;&gt;Requoted",'Quote Log'!$H:$H,"&gt;="&amp;DATE(2021,4,4),'Quote Log'!$H:$H,"&lt;="&amp;DATE(2021,4,10))</f>
        <v>0</v>
      </c>
      <c r="F16" t="e">
        <f t="shared" si="1"/>
        <v>#N/A</v>
      </c>
      <c r="G16">
        <f>COUNTIFS('Quote Log'!$C:$C,"&gt;="&amp;DATE(2021,4,4),'Quote Log'!$C:$C,"&lt;="&amp;DATE(2021,4,10),'Quote Log'!$B:$B,"=Purchased")</f>
        <v>0</v>
      </c>
      <c r="H16" t="e">
        <f t="shared" si="2"/>
        <v>#N/A</v>
      </c>
      <c r="I16" s="339">
        <f t="shared" si="3"/>
        <v>0</v>
      </c>
      <c r="J16" s="339" t="e">
        <f t="shared" si="4"/>
        <v>#N/A</v>
      </c>
      <c r="K16">
        <f>COUNTIFS('Quote Log'!$C:$C,"&gt;="&amp;DATE(2021,4,4),'Quote Log'!$C:$C,"&lt;="&amp;DATE(2021,4,10),'Quote Log'!$B:$B,"=LOST")</f>
        <v>0</v>
      </c>
      <c r="L16">
        <f>COUNTIFS('Quote Log'!$B:$B,"&lt;&gt;VOID",'Quote Log'!$B:$B,"&lt;&gt;Requoted",'Quote Log'!$C:$C,"&gt;="&amp;DATE(2021,4,4),'Quote Log'!$C:$C,"&lt;="&amp;DATE(2021,4,10),'Quote Log'!$V:$V,"=new")</f>
        <v>0</v>
      </c>
      <c r="M16" s="349">
        <f t="shared" si="5"/>
        <v>0</v>
      </c>
      <c r="N16" s="339" t="e">
        <f t="shared" si="6"/>
        <v>#N/A</v>
      </c>
      <c r="O16" s="351">
        <f>SUMIFS('Quote Log'!$AB:$AB,'Quote Log'!$C:$C,"&gt;="&amp;DATE(2021,4,4),'Quote Log'!$C:$C,"&lt;="&amp;DATE(2021,4,10),'Quote Log'!$B:$B,"=Purchased",'Quote Log'!$AB:$AB,"&lt;&gt;#VALUE!")</f>
        <v>0</v>
      </c>
      <c r="P16" s="351" t="e">
        <f t="shared" si="7"/>
        <v>#N/A</v>
      </c>
      <c r="Q16" s="349" t="e">
        <f>NA()</f>
        <v>#N/A</v>
      </c>
      <c r="R16" s="349" t="e">
        <f t="shared" si="8"/>
        <v>#N/A</v>
      </c>
      <c r="S16" s="351">
        <f t="shared" si="11"/>
        <v>0</v>
      </c>
      <c r="T16" s="351" t="e">
        <f t="shared" si="9"/>
        <v>#N/A</v>
      </c>
      <c r="U16" s="349" t="e">
        <f>NA()</f>
        <v>#N/A</v>
      </c>
      <c r="V16" s="349" t="e">
        <f t="shared" si="10"/>
        <v>#N/A</v>
      </c>
      <c r="W16" s="339"/>
      <c r="X16" s="339"/>
    </row>
    <row r="17" spans="1:24" x14ac:dyDescent="0.25">
      <c r="A17">
        <v>2021</v>
      </c>
      <c r="B17" s="350">
        <v>16</v>
      </c>
      <c r="C17">
        <f>COUNTIFS('Quote Log'!$B:$B,"&lt;&gt;VOID",'Quote Log'!$B:$B,"&lt;&gt;Requoted",'Quote Log'!$C:$C,"&gt;="&amp;DATE(2021,4,11),'Quote Log'!$C:$C,"&lt;="&amp;DATE(2021,4,17))</f>
        <v>0</v>
      </c>
      <c r="D17" t="e">
        <f t="shared" si="0"/>
        <v>#N/A</v>
      </c>
      <c r="E17">
        <f>COUNTIFS('Quote Log'!$B:$B,"&lt;&gt;VOID",'Quote Log'!$B:$B,"&lt;&gt;Requoted",'Quote Log'!$H:$H,"&gt;="&amp;DATE(2021,4,11),'Quote Log'!$H:$H,"&lt;="&amp;DATE(2021,4,17))</f>
        <v>0</v>
      </c>
      <c r="F17" t="e">
        <f t="shared" si="1"/>
        <v>#N/A</v>
      </c>
      <c r="G17">
        <f>COUNTIFS('Quote Log'!$C:$C,"&gt;="&amp;DATE(2021,4,11),'Quote Log'!$C:$C,"&lt;="&amp;DATE(2021,4,17),'Quote Log'!$B:$B,"=Purchased")</f>
        <v>0</v>
      </c>
      <c r="H17" t="e">
        <f t="shared" si="2"/>
        <v>#N/A</v>
      </c>
      <c r="I17" s="339">
        <f t="shared" si="3"/>
        <v>0</v>
      </c>
      <c r="J17" s="339" t="e">
        <f t="shared" si="4"/>
        <v>#N/A</v>
      </c>
      <c r="K17">
        <f>COUNTIFS('Quote Log'!$C:$C,"&gt;="&amp;DATE(2021,4,11),'Quote Log'!$C:$C,"&lt;="&amp;DATE(2021,4,17),'Quote Log'!$B:$B,"=LOST")</f>
        <v>0</v>
      </c>
      <c r="L17">
        <f>COUNTIFS('Quote Log'!$B:$B,"&lt;&gt;VOID",'Quote Log'!$B:$B,"&lt;&gt;Requoted",'Quote Log'!$C:$C,"&gt;="&amp;DATE(2021,4,11),'Quote Log'!$C:$C,"&lt;="&amp;DATE(2021,4,17),'Quote Log'!$V:$V,"=new")</f>
        <v>0</v>
      </c>
      <c r="M17" s="349">
        <f t="shared" si="5"/>
        <v>0</v>
      </c>
      <c r="N17" s="339" t="e">
        <f t="shared" si="6"/>
        <v>#N/A</v>
      </c>
      <c r="O17" s="351">
        <f>SUMIFS('Quote Log'!$AB:$AB,'Quote Log'!$C:$C,"&gt;="&amp;DATE(2021,4,11),'Quote Log'!$C:$C,"&lt;="&amp;DATE(2021,4,17),'Quote Log'!$B:$B,"=Purchased",'Quote Log'!$AB:$AB,"&lt;&gt;#VALUE!")</f>
        <v>0</v>
      </c>
      <c r="P17" s="351" t="e">
        <f t="shared" si="7"/>
        <v>#N/A</v>
      </c>
      <c r="Q17" s="349" t="e">
        <f>NA()</f>
        <v>#N/A</v>
      </c>
      <c r="R17" s="349" t="e">
        <f t="shared" si="8"/>
        <v>#N/A</v>
      </c>
      <c r="S17" s="351">
        <f t="shared" si="11"/>
        <v>0</v>
      </c>
      <c r="T17" s="351" t="e">
        <f t="shared" si="9"/>
        <v>#N/A</v>
      </c>
      <c r="U17" s="349" t="e">
        <f>NA()</f>
        <v>#N/A</v>
      </c>
      <c r="V17" s="349" t="e">
        <f t="shared" si="10"/>
        <v>#N/A</v>
      </c>
      <c r="W17" s="339"/>
      <c r="X17" s="339"/>
    </row>
    <row r="18" spans="1:24" x14ac:dyDescent="0.25">
      <c r="A18">
        <v>2021</v>
      </c>
      <c r="B18" s="350">
        <v>17</v>
      </c>
      <c r="C18">
        <f>COUNTIFS('Quote Log'!$B:$B,"&lt;&gt;VOID",'Quote Log'!$B:$B,"&lt;&gt;Requoted",'Quote Log'!$C:$C,"&gt;="&amp;DATE(2021,4,18),'Quote Log'!$C:$C,"&lt;="&amp;DATE(2021,4,24))</f>
        <v>0</v>
      </c>
      <c r="D18" t="e">
        <f t="shared" si="0"/>
        <v>#N/A</v>
      </c>
      <c r="E18">
        <f>COUNTIFS('Quote Log'!$B:$B,"&lt;&gt;VOID",'Quote Log'!$B:$B,"&lt;&gt;Requoted",'Quote Log'!$H:$H,"&gt;="&amp;DATE(2021,4,18),'Quote Log'!$H:$H,"&lt;="&amp;DATE(2021,4,24))</f>
        <v>0</v>
      </c>
      <c r="F18" t="e">
        <f t="shared" si="1"/>
        <v>#N/A</v>
      </c>
      <c r="G18">
        <f>COUNTIFS('Quote Log'!$C:$C,"&gt;="&amp;DATE(2021,4,18),'Quote Log'!$C:$C,"&lt;="&amp;DATE(2021,4,24),'Quote Log'!$B:$B,"=Purchased")</f>
        <v>0</v>
      </c>
      <c r="H18" t="e">
        <f t="shared" si="2"/>
        <v>#N/A</v>
      </c>
      <c r="I18" s="339">
        <f t="shared" si="3"/>
        <v>0</v>
      </c>
      <c r="J18" s="339" t="e">
        <f t="shared" si="4"/>
        <v>#N/A</v>
      </c>
      <c r="K18">
        <f>COUNTIFS('Quote Log'!$C:$C,"&gt;="&amp;DATE(2021,4,18),'Quote Log'!$C:$C,"&lt;="&amp;DATE(2021,4,24),'Quote Log'!$B:$B,"=LOST")</f>
        <v>0</v>
      </c>
      <c r="L18">
        <f>COUNTIFS('Quote Log'!$B:$B,"&lt;&gt;VOID",'Quote Log'!$B:$B,"&lt;&gt;Requoted",'Quote Log'!$C:$C,"&gt;="&amp;DATE(2021,4,18),'Quote Log'!$C:$C,"&lt;="&amp;DATE(2021,4,24),'Quote Log'!$V:$V,"=new")</f>
        <v>0</v>
      </c>
      <c r="M18" s="349">
        <f t="shared" si="5"/>
        <v>0</v>
      </c>
      <c r="N18" s="339" t="e">
        <f t="shared" si="6"/>
        <v>#N/A</v>
      </c>
      <c r="O18" s="351">
        <f>SUMIFS('Quote Log'!$AB:$AB,'Quote Log'!$C:$C,"&gt;="&amp;DATE(2021,4,18),'Quote Log'!$C:$C,"&lt;="&amp;DATE(2021,4,24),'Quote Log'!$B:$B,"=Purchased",'Quote Log'!$AB:$AB,"&lt;&gt;#VALUE!")</f>
        <v>0</v>
      </c>
      <c r="P18" s="351" t="e">
        <f t="shared" si="7"/>
        <v>#N/A</v>
      </c>
      <c r="Q18" s="349" t="e">
        <f>NA()</f>
        <v>#N/A</v>
      </c>
      <c r="R18" s="349" t="e">
        <f t="shared" si="8"/>
        <v>#N/A</v>
      </c>
      <c r="S18" s="351">
        <f t="shared" si="11"/>
        <v>0</v>
      </c>
      <c r="T18" s="351" t="e">
        <f t="shared" si="9"/>
        <v>#N/A</v>
      </c>
      <c r="U18" s="349" t="e">
        <f>NA()</f>
        <v>#N/A</v>
      </c>
      <c r="V18" s="349" t="e">
        <f t="shared" si="10"/>
        <v>#N/A</v>
      </c>
      <c r="W18" s="339"/>
      <c r="X18" s="339"/>
    </row>
    <row r="19" spans="1:24" x14ac:dyDescent="0.25">
      <c r="A19">
        <v>2021</v>
      </c>
      <c r="B19" s="350">
        <v>18</v>
      </c>
      <c r="C19">
        <f>COUNTIFS('Quote Log'!$B:$B,"&lt;&gt;VOID",'Quote Log'!$B:$B,"&lt;&gt;Requoted",'Quote Log'!$C:$C,"&gt;="&amp;DATE(2021,4,25),'Quote Log'!$C:$C,"&lt;="&amp;DATE(2021,5,1))</f>
        <v>0</v>
      </c>
      <c r="D19" t="e">
        <f t="shared" si="0"/>
        <v>#N/A</v>
      </c>
      <c r="E19">
        <f>COUNTIFS('Quote Log'!$B:$B,"&lt;&gt;VOID",'Quote Log'!$B:$B,"&lt;&gt;Requoted",'Quote Log'!$H:$H,"&gt;="&amp;DATE(2021,4,25),'Quote Log'!$H:$H,"&lt;="&amp;DATE(2021,5,1))</f>
        <v>0</v>
      </c>
      <c r="F19" t="e">
        <f t="shared" si="1"/>
        <v>#N/A</v>
      </c>
      <c r="G19">
        <f>COUNTIFS('Quote Log'!$C:$C,"&gt;="&amp;DATE(2021,4,25),'Quote Log'!$C:$C,"&lt;="&amp;DATE(2021,5,1),'Quote Log'!$B:$B,"=Purchased")</f>
        <v>0</v>
      </c>
      <c r="H19" t="e">
        <f t="shared" si="2"/>
        <v>#N/A</v>
      </c>
      <c r="I19" s="339">
        <f t="shared" si="3"/>
        <v>0</v>
      </c>
      <c r="J19" s="339" t="e">
        <f t="shared" si="4"/>
        <v>#N/A</v>
      </c>
      <c r="K19">
        <f>COUNTIFS('Quote Log'!$C:$C,"&gt;="&amp;DATE(2021,4,25),'Quote Log'!$C:$C,"&lt;="&amp;DATE(2021,5,1),'Quote Log'!$B:$B,"=LOST")</f>
        <v>0</v>
      </c>
      <c r="L19">
        <f>COUNTIFS('Quote Log'!$B:$B,"&lt;&gt;VOID",'Quote Log'!$B:$B,"&lt;&gt;Requoted",'Quote Log'!$C:$C,"&gt;="&amp;DATE(2021,4,25),'Quote Log'!$C:$C,"&lt;="&amp;DATE(2021,5,1),'Quote Log'!$V:$V,"=new")</f>
        <v>0</v>
      </c>
      <c r="M19" s="349">
        <f t="shared" si="5"/>
        <v>0</v>
      </c>
      <c r="N19" s="339" t="e">
        <f t="shared" si="6"/>
        <v>#N/A</v>
      </c>
      <c r="O19" s="351">
        <f>SUMIFS('Quote Log'!$AB:$AB,'Quote Log'!$C:$C,"&gt;="&amp;DATE(2021,4,25),'Quote Log'!$C:$C,"&lt;="&amp;DATE(2021,5,1),'Quote Log'!$B:$B,"=Purchased",'Quote Log'!$AB:$AB,"&lt;&gt;#VALUE!")</f>
        <v>0</v>
      </c>
      <c r="P19" s="351" t="e">
        <f t="shared" si="7"/>
        <v>#N/A</v>
      </c>
      <c r="Q19" s="349" t="e">
        <f>NA()</f>
        <v>#N/A</v>
      </c>
      <c r="R19" s="349" t="e">
        <f t="shared" si="8"/>
        <v>#N/A</v>
      </c>
      <c r="S19" s="351">
        <f t="shared" si="11"/>
        <v>0</v>
      </c>
      <c r="T19" s="351" t="e">
        <f t="shared" si="9"/>
        <v>#N/A</v>
      </c>
      <c r="U19" s="349" t="e">
        <f>NA()</f>
        <v>#N/A</v>
      </c>
      <c r="V19" s="349" t="e">
        <f t="shared" si="10"/>
        <v>#N/A</v>
      </c>
      <c r="W19" s="339"/>
      <c r="X19" s="339"/>
    </row>
    <row r="20" spans="1:24" x14ac:dyDescent="0.25">
      <c r="A20">
        <v>2021</v>
      </c>
      <c r="B20" s="350">
        <v>19</v>
      </c>
      <c r="C20">
        <f>COUNTIFS('Quote Log'!$B:$B,"&lt;&gt;VOID",'Quote Log'!$B:$B,"&lt;&gt;Requoted",'Quote Log'!$C:$C,"&gt;="&amp;DATE(2021,5,2),'Quote Log'!$C:$C,"&lt;="&amp;DATE(2021,5,8))</f>
        <v>0</v>
      </c>
      <c r="D20" t="e">
        <f t="shared" si="0"/>
        <v>#N/A</v>
      </c>
      <c r="E20">
        <f>COUNTIFS('Quote Log'!$B:$B,"&lt;&gt;VOID",'Quote Log'!$B:$B,"&lt;&gt;Requoted",'Quote Log'!$H:$H,"&gt;="&amp;DATE(2021,5,2),'Quote Log'!$H:$H,"&lt;="&amp;DATE(2021,5,8))</f>
        <v>0</v>
      </c>
      <c r="F20" t="e">
        <f t="shared" si="1"/>
        <v>#N/A</v>
      </c>
      <c r="G20">
        <f>COUNTIFS('Quote Log'!$C:$C,"&gt;="&amp;DATE(2021,5,2),'Quote Log'!$C:$C,"&lt;="&amp;DATE(2021,5,8),'Quote Log'!$B:$B,"=Purchased")</f>
        <v>0</v>
      </c>
      <c r="H20" t="e">
        <f t="shared" si="2"/>
        <v>#N/A</v>
      </c>
      <c r="I20" s="339">
        <f t="shared" si="3"/>
        <v>0</v>
      </c>
      <c r="J20" s="339" t="e">
        <f t="shared" si="4"/>
        <v>#N/A</v>
      </c>
      <c r="K20">
        <f>COUNTIFS('Quote Log'!$C:$C,"&gt;="&amp;DATE(2021,5,2),'Quote Log'!$C:$C,"&lt;="&amp;DATE(2021,5,8),'Quote Log'!$B:$B,"=LOST")</f>
        <v>0</v>
      </c>
      <c r="L20">
        <f>COUNTIFS('Quote Log'!$B:$B,"&lt;&gt;VOID",'Quote Log'!$B:$B,"&lt;&gt;Requoted",'Quote Log'!$C:$C,"&gt;="&amp;DATE(2021,5,2),'Quote Log'!$C:$C,"&lt;="&amp;DATE(2021,5,8),'Quote Log'!$V:$V,"=new")</f>
        <v>0</v>
      </c>
      <c r="M20" s="349">
        <f t="shared" si="5"/>
        <v>0</v>
      </c>
      <c r="N20" s="339" t="e">
        <f t="shared" si="6"/>
        <v>#N/A</v>
      </c>
      <c r="O20" s="351">
        <f>SUMIFS('Quote Log'!$AB:$AB,'Quote Log'!$C:$C,"&gt;="&amp;DATE(2021,5,2),'Quote Log'!$C:$C,"&lt;="&amp;DATE(2021,5,8),'Quote Log'!$B:$B,"=Purchased",'Quote Log'!$AB:$AB,"&lt;&gt;#VALUE!")</f>
        <v>0</v>
      </c>
      <c r="P20" s="351" t="e">
        <f t="shared" si="7"/>
        <v>#N/A</v>
      </c>
      <c r="Q20" s="349" t="e">
        <f>NA()</f>
        <v>#N/A</v>
      </c>
      <c r="R20" s="349" t="e">
        <f t="shared" si="8"/>
        <v>#N/A</v>
      </c>
      <c r="S20" s="351">
        <f t="shared" si="11"/>
        <v>0</v>
      </c>
      <c r="T20" s="351" t="e">
        <f t="shared" si="9"/>
        <v>#N/A</v>
      </c>
      <c r="U20" s="349" t="e">
        <f>NA()</f>
        <v>#N/A</v>
      </c>
      <c r="V20" s="349" t="e">
        <f t="shared" si="10"/>
        <v>#N/A</v>
      </c>
      <c r="W20" s="339"/>
      <c r="X20" s="339"/>
    </row>
    <row r="21" spans="1:24" x14ac:dyDescent="0.25">
      <c r="A21">
        <v>2021</v>
      </c>
      <c r="B21" s="350">
        <v>20</v>
      </c>
      <c r="C21">
        <f>COUNTIFS('Quote Log'!$B:$B,"&lt;&gt;VOID",'Quote Log'!$B:$B,"&lt;&gt;Requoted",'Quote Log'!$C:$C,"&gt;="&amp;DATE(2021,5,9),'Quote Log'!$C:$C,"&lt;="&amp;DATE(2021,5,15))</f>
        <v>0</v>
      </c>
      <c r="D21" t="e">
        <f t="shared" si="0"/>
        <v>#N/A</v>
      </c>
      <c r="E21">
        <f>COUNTIFS('Quote Log'!$B:$B,"&lt;&gt;VOID",'Quote Log'!$B:$B,"&lt;&gt;Requoted",'Quote Log'!$H:$H,"&gt;="&amp;DATE(2021,5,9),'Quote Log'!$H:$H,"&lt;="&amp;DATE(2021,5,15))</f>
        <v>0</v>
      </c>
      <c r="F21" t="e">
        <f t="shared" si="1"/>
        <v>#N/A</v>
      </c>
      <c r="G21">
        <f>COUNTIFS('Quote Log'!$C:$C,"&gt;="&amp;DATE(2021,5,9),'Quote Log'!$C:$C,"&lt;="&amp;DATE(2021,5,15),'Quote Log'!$B:$B,"=Purchased")</f>
        <v>0</v>
      </c>
      <c r="H21" t="e">
        <f t="shared" si="2"/>
        <v>#N/A</v>
      </c>
      <c r="I21" s="339">
        <f t="shared" si="3"/>
        <v>0</v>
      </c>
      <c r="J21" s="339" t="e">
        <f t="shared" si="4"/>
        <v>#N/A</v>
      </c>
      <c r="K21">
        <f>COUNTIFS('Quote Log'!$C:$C,"&gt;="&amp;DATE(2021,5,9),'Quote Log'!$C:$C,"&lt;="&amp;DATE(2021,5,15),'Quote Log'!$B:$B,"=LOST")</f>
        <v>0</v>
      </c>
      <c r="L21">
        <f>COUNTIFS('Quote Log'!$B:$B,"&lt;&gt;VOID",'Quote Log'!$B:$B,"&lt;&gt;Requoted",'Quote Log'!$C:$C,"&gt;="&amp;DATE(2021,5,9),'Quote Log'!$C:$C,"&lt;="&amp;DATE(2021,5,15),'Quote Log'!$V:$V,"=new")</f>
        <v>0</v>
      </c>
      <c r="M21" s="349">
        <f t="shared" si="5"/>
        <v>0</v>
      </c>
      <c r="N21" s="339" t="e">
        <f t="shared" si="6"/>
        <v>#N/A</v>
      </c>
      <c r="O21" s="351">
        <f>SUMIFS('Quote Log'!$AB:$AB,'Quote Log'!$C:$C,"&gt;="&amp;DATE(2021,5,9),'Quote Log'!$C:$C,"&lt;="&amp;DATE(2021,5,15),'Quote Log'!$B:$B,"=Purchased",'Quote Log'!$AB:$AB,"&lt;&gt;#VALUE!")</f>
        <v>0</v>
      </c>
      <c r="P21" s="351" t="e">
        <f t="shared" si="7"/>
        <v>#N/A</v>
      </c>
      <c r="Q21" s="349" t="e">
        <f>NA()</f>
        <v>#N/A</v>
      </c>
      <c r="R21" s="349" t="e">
        <f t="shared" si="8"/>
        <v>#N/A</v>
      </c>
      <c r="S21" s="351">
        <f t="shared" si="11"/>
        <v>0</v>
      </c>
      <c r="T21" s="351" t="e">
        <f t="shared" si="9"/>
        <v>#N/A</v>
      </c>
      <c r="U21" s="349" t="e">
        <f>NA()</f>
        <v>#N/A</v>
      </c>
      <c r="V21" s="349" t="e">
        <f t="shared" si="10"/>
        <v>#N/A</v>
      </c>
      <c r="W21" s="339"/>
      <c r="X21" s="339"/>
    </row>
    <row r="22" spans="1:24" x14ac:dyDescent="0.25">
      <c r="A22">
        <v>2021</v>
      </c>
      <c r="B22" s="350">
        <v>21</v>
      </c>
      <c r="C22">
        <f>COUNTIFS('Quote Log'!$B:$B,"&lt;&gt;VOID",'Quote Log'!$B:$B,"&lt;&gt;Requoted",'Quote Log'!$C:$C,"&gt;="&amp;DATE(2021,5,16),'Quote Log'!$C:$C,"&lt;="&amp;DATE(2021,5,22))</f>
        <v>0</v>
      </c>
      <c r="D22" t="e">
        <f t="shared" si="0"/>
        <v>#N/A</v>
      </c>
      <c r="E22">
        <f>COUNTIFS('Quote Log'!$B:$B,"&lt;&gt;VOID",'Quote Log'!$B:$B,"&lt;&gt;Requoted",'Quote Log'!$H:$H,"&gt;="&amp;DATE(2021,5,16),'Quote Log'!$H:$H,"&lt;="&amp;DATE(2021,5,22))</f>
        <v>0</v>
      </c>
      <c r="F22" t="e">
        <f t="shared" si="1"/>
        <v>#N/A</v>
      </c>
      <c r="G22">
        <f>COUNTIFS('Quote Log'!$C:$C,"&gt;="&amp;DATE(2021,5,16),'Quote Log'!$C:$C,"&lt;="&amp;DATE(2021,5,22),'Quote Log'!$B:$B,"=Purchased")</f>
        <v>0</v>
      </c>
      <c r="H22" t="e">
        <f t="shared" si="2"/>
        <v>#N/A</v>
      </c>
      <c r="I22" s="339">
        <f t="shared" si="3"/>
        <v>0</v>
      </c>
      <c r="J22" s="339" t="e">
        <f t="shared" si="4"/>
        <v>#N/A</v>
      </c>
      <c r="K22">
        <f>COUNTIFS('Quote Log'!$C:$C,"&gt;="&amp;DATE(2021,5,16),'Quote Log'!$C:$C,"&lt;="&amp;DATE(2021,5,22),'Quote Log'!$B:$B,"=LOST")</f>
        <v>0</v>
      </c>
      <c r="L22">
        <f>COUNTIFS('Quote Log'!$B:$B,"&lt;&gt;VOID",'Quote Log'!$B:$B,"&lt;&gt;Requoted",'Quote Log'!$C:$C,"&gt;="&amp;DATE(2021,5,16),'Quote Log'!$C:$C,"&lt;="&amp;DATE(2021,5,22),'Quote Log'!$V:$V,"=new")</f>
        <v>0</v>
      </c>
      <c r="M22" s="349">
        <f t="shared" si="5"/>
        <v>0</v>
      </c>
      <c r="N22" s="339" t="e">
        <f t="shared" si="6"/>
        <v>#N/A</v>
      </c>
      <c r="O22" s="351">
        <f>SUMIFS('Quote Log'!$AB:$AB,'Quote Log'!$C:$C,"&gt;="&amp;DATE(2021,5,16),'Quote Log'!$C:$C,"&lt;="&amp;DATE(2021,5,22),'Quote Log'!$B:$B,"=Purchased",'Quote Log'!$AB:$AB,"&lt;&gt;#VALUE!")</f>
        <v>0</v>
      </c>
      <c r="P22" s="351" t="e">
        <f t="shared" si="7"/>
        <v>#N/A</v>
      </c>
      <c r="Q22" s="349" t="e">
        <f>NA()</f>
        <v>#N/A</v>
      </c>
      <c r="R22" s="349" t="e">
        <f t="shared" si="8"/>
        <v>#N/A</v>
      </c>
      <c r="S22" s="351">
        <f t="shared" si="11"/>
        <v>0</v>
      </c>
      <c r="T22" s="351" t="e">
        <f t="shared" si="9"/>
        <v>#N/A</v>
      </c>
      <c r="U22" s="349" t="e">
        <f>NA()</f>
        <v>#N/A</v>
      </c>
      <c r="V22" s="349" t="e">
        <f t="shared" si="10"/>
        <v>#N/A</v>
      </c>
      <c r="W22" s="339"/>
      <c r="X22" s="339"/>
    </row>
    <row r="23" spans="1:24" x14ac:dyDescent="0.25">
      <c r="A23">
        <v>2021</v>
      </c>
      <c r="B23" s="350">
        <v>22</v>
      </c>
      <c r="C23">
        <f>COUNTIFS('Quote Log'!$B:$B,"&lt;&gt;VOID",'Quote Log'!$B:$B,"&lt;&gt;Requoted",'Quote Log'!$C:$C,"&gt;="&amp;DATE(2021,5,23),'Quote Log'!$C:$C,"&lt;="&amp;DATE(2021,5,29))</f>
        <v>0</v>
      </c>
      <c r="D23" t="e">
        <f t="shared" si="0"/>
        <v>#N/A</v>
      </c>
      <c r="E23">
        <f>COUNTIFS('Quote Log'!$B:$B,"&lt;&gt;VOID",'Quote Log'!$B:$B,"&lt;&gt;Requoted",'Quote Log'!$H:$H,"&gt;="&amp;DATE(2021,5,23),'Quote Log'!$H:$H,"&lt;="&amp;DATE(2021,5,29))</f>
        <v>0</v>
      </c>
      <c r="F23" t="e">
        <f t="shared" si="1"/>
        <v>#N/A</v>
      </c>
      <c r="G23">
        <f>COUNTIFS('Quote Log'!$C:$C,"&gt;="&amp;DATE(2021,5,23),'Quote Log'!$C:$C,"&lt;="&amp;DATE(2021,5,29),'Quote Log'!$B:$B,"=Purchased")</f>
        <v>0</v>
      </c>
      <c r="H23" t="e">
        <f t="shared" si="2"/>
        <v>#N/A</v>
      </c>
      <c r="I23" s="339">
        <f t="shared" si="3"/>
        <v>0</v>
      </c>
      <c r="J23" s="339" t="e">
        <f t="shared" si="4"/>
        <v>#N/A</v>
      </c>
      <c r="K23">
        <f>COUNTIFS('Quote Log'!$C:$C,"&gt;="&amp;DATE(2021,5,23),'Quote Log'!$C:$C,"&lt;="&amp;DATE(2021,5,29),'Quote Log'!$B:$B,"=LOST")</f>
        <v>0</v>
      </c>
      <c r="L23">
        <f>COUNTIFS('Quote Log'!$B:$B,"&lt;&gt;VOID",'Quote Log'!$B:$B,"&lt;&gt;Requoted",'Quote Log'!$C:$C,"&gt;="&amp;DATE(2021,5,23),'Quote Log'!$C:$C,"&lt;="&amp;DATE(2021,5,29),'Quote Log'!$V:$V,"=new")</f>
        <v>0</v>
      </c>
      <c r="M23" s="349">
        <f t="shared" si="5"/>
        <v>0</v>
      </c>
      <c r="N23" s="339" t="e">
        <f t="shared" si="6"/>
        <v>#N/A</v>
      </c>
      <c r="O23" s="351">
        <f>SUMIFS('Quote Log'!$AB:$AB,'Quote Log'!$C:$C,"&gt;="&amp;DATE(2021,5,23),'Quote Log'!$C:$C,"&lt;="&amp;DATE(2021,5,29),'Quote Log'!$B:$B,"=Purchased",'Quote Log'!$AB:$AB,"&lt;&gt;#VALUE!")</f>
        <v>0</v>
      </c>
      <c r="P23" s="351" t="e">
        <f t="shared" si="7"/>
        <v>#N/A</v>
      </c>
      <c r="Q23" s="349" t="e">
        <f>NA()</f>
        <v>#N/A</v>
      </c>
      <c r="R23" s="349" t="e">
        <f t="shared" si="8"/>
        <v>#N/A</v>
      </c>
      <c r="S23" s="351">
        <f t="shared" si="11"/>
        <v>0</v>
      </c>
      <c r="T23" s="351" t="e">
        <f t="shared" si="9"/>
        <v>#N/A</v>
      </c>
      <c r="U23" s="349" t="e">
        <f>NA()</f>
        <v>#N/A</v>
      </c>
      <c r="V23" s="349" t="e">
        <f t="shared" si="10"/>
        <v>#N/A</v>
      </c>
      <c r="W23" s="339"/>
      <c r="X23" s="339"/>
    </row>
    <row r="24" spans="1:24" x14ac:dyDescent="0.25">
      <c r="A24">
        <v>2021</v>
      </c>
      <c r="B24" s="350">
        <v>23</v>
      </c>
      <c r="C24">
        <f>COUNTIFS('Quote Log'!$B:$B,"&lt;&gt;VOID",'Quote Log'!$B:$B,"&lt;&gt;Requoted",'Quote Log'!$C:$C,"&gt;="&amp;DATE(2021,5,30),'Quote Log'!$C:$C,"&lt;="&amp;DATE(2021,6,5))</f>
        <v>0</v>
      </c>
      <c r="D24" t="e">
        <f t="shared" si="0"/>
        <v>#N/A</v>
      </c>
      <c r="E24">
        <f>COUNTIFS('Quote Log'!$B:$B,"&lt;&gt;VOID",'Quote Log'!$B:$B,"&lt;&gt;Requoted",'Quote Log'!$H:$H,"&gt;="&amp;DATE(2021,5,30),'Quote Log'!$H:$H,"&lt;="&amp;DATE(2021,6,5))</f>
        <v>0</v>
      </c>
      <c r="F24" t="e">
        <f t="shared" si="1"/>
        <v>#N/A</v>
      </c>
      <c r="G24">
        <f>COUNTIFS('Quote Log'!$C:$C,"&gt;="&amp;DATE(2021,5,30),'Quote Log'!$C:$C,"&lt;="&amp;DATE(2021,6,5),'Quote Log'!$B:$B,"=Purchased")</f>
        <v>0</v>
      </c>
      <c r="H24" t="e">
        <f t="shared" si="2"/>
        <v>#N/A</v>
      </c>
      <c r="I24" s="339">
        <f t="shared" si="3"/>
        <v>0</v>
      </c>
      <c r="J24" s="339" t="e">
        <f t="shared" si="4"/>
        <v>#N/A</v>
      </c>
      <c r="K24">
        <f>COUNTIFS('Quote Log'!$C:$C,"&gt;="&amp;DATE(2021,5,30),'Quote Log'!$C:$C,"&lt;="&amp;DATE(2021,6,5),'Quote Log'!$B:$B,"=LOST")</f>
        <v>0</v>
      </c>
      <c r="L24">
        <f>COUNTIFS('Quote Log'!$B:$B,"&lt;&gt;VOID",'Quote Log'!$B:$B,"&lt;&gt;Requoted",'Quote Log'!$C:$C,"&gt;="&amp;DATE(2021,5,30),'Quote Log'!$C:$C,"&lt;="&amp;DATE(2021,6,5),'Quote Log'!$V:$V,"=new")</f>
        <v>0</v>
      </c>
      <c r="M24" s="349">
        <f t="shared" si="5"/>
        <v>0</v>
      </c>
      <c r="N24" s="339" t="e">
        <f t="shared" si="6"/>
        <v>#N/A</v>
      </c>
      <c r="O24" s="351">
        <f>SUMIFS('Quote Log'!$AB:$AB,'Quote Log'!$C:$C,"&gt;="&amp;DATE(2021,5,30),'Quote Log'!$C:$C,"&lt;="&amp;DATE(2021,6,5),'Quote Log'!$B:$B,"=Purchased",'Quote Log'!$AB:$AB,"&lt;&gt;#VALUE!")</f>
        <v>0</v>
      </c>
      <c r="P24" s="351" t="e">
        <f t="shared" si="7"/>
        <v>#N/A</v>
      </c>
      <c r="Q24" s="349" t="e">
        <f>NA()</f>
        <v>#N/A</v>
      </c>
      <c r="R24" s="349" t="e">
        <f t="shared" si="8"/>
        <v>#N/A</v>
      </c>
      <c r="S24" s="351">
        <f t="shared" si="11"/>
        <v>0</v>
      </c>
      <c r="T24" s="351" t="e">
        <f t="shared" si="9"/>
        <v>#N/A</v>
      </c>
      <c r="U24" s="349" t="e">
        <f>NA()</f>
        <v>#N/A</v>
      </c>
      <c r="V24" s="349" t="e">
        <f t="shared" si="10"/>
        <v>#N/A</v>
      </c>
      <c r="W24" s="339"/>
      <c r="X24" s="339"/>
    </row>
    <row r="25" spans="1:24" x14ac:dyDescent="0.25">
      <c r="A25">
        <v>2021</v>
      </c>
      <c r="B25" s="350">
        <v>24</v>
      </c>
      <c r="C25">
        <f>COUNTIFS('Quote Log'!$B:$B,"&lt;&gt;VOID",'Quote Log'!$B:$B,"&lt;&gt;Requoted",'Quote Log'!$C:$C,"&gt;="&amp;DATE(2021,6,6),'Quote Log'!$C:$C,"&lt;="&amp;DATE(2021,6,12))</f>
        <v>0</v>
      </c>
      <c r="D25" t="e">
        <f t="shared" si="0"/>
        <v>#N/A</v>
      </c>
      <c r="E25">
        <f>COUNTIFS('Quote Log'!$B:$B,"&lt;&gt;VOID",'Quote Log'!$B:$B,"&lt;&gt;Requoted",'Quote Log'!$H:$H,"&gt;="&amp;DATE(2021,6,6),'Quote Log'!$H:$H,"&lt;="&amp;DATE(2021,6,12))</f>
        <v>0</v>
      </c>
      <c r="F25" t="e">
        <f t="shared" si="1"/>
        <v>#N/A</v>
      </c>
      <c r="G25">
        <f>COUNTIFS('Quote Log'!$C:$C,"&gt;="&amp;DATE(2021,6,6),'Quote Log'!$C:$C,"&lt;="&amp;DATE(2021,6,12),'Quote Log'!$B:$B,"=Purchased")</f>
        <v>0</v>
      </c>
      <c r="H25" t="e">
        <f t="shared" si="2"/>
        <v>#N/A</v>
      </c>
      <c r="I25" s="339">
        <f t="shared" si="3"/>
        <v>0</v>
      </c>
      <c r="J25" s="339" t="e">
        <f t="shared" si="4"/>
        <v>#N/A</v>
      </c>
      <c r="K25">
        <f>COUNTIFS('Quote Log'!$C:$C,"&gt;="&amp;DATE(2021,6,6),'Quote Log'!$C:$C,"&lt;="&amp;DATE(2021,6,12),'Quote Log'!$B:$B,"=LOST")</f>
        <v>0</v>
      </c>
      <c r="L25">
        <f>COUNTIFS('Quote Log'!$B:$B,"&lt;&gt;VOID",'Quote Log'!$B:$B,"&lt;&gt;Requoted",'Quote Log'!$C:$C,"&gt;="&amp;DATE(2021,6,6),'Quote Log'!$C:$C,"&lt;="&amp;DATE(2021,6,12),'Quote Log'!$V:$V,"=new")</f>
        <v>0</v>
      </c>
      <c r="M25" s="349">
        <f t="shared" si="5"/>
        <v>0</v>
      </c>
      <c r="N25" s="339" t="e">
        <f t="shared" si="6"/>
        <v>#N/A</v>
      </c>
      <c r="O25" s="351">
        <f>SUMIFS('Quote Log'!$AB:$AB,'Quote Log'!$C:$C,"&gt;="&amp;DATE(2021,6,6),'Quote Log'!$C:$C,"&lt;="&amp;DATE(2021,6,12),'Quote Log'!$B:$B,"=Purchased",'Quote Log'!$AB:$AB,"&lt;&gt;#VALUE!")</f>
        <v>0</v>
      </c>
      <c r="P25" s="351" t="e">
        <f t="shared" si="7"/>
        <v>#N/A</v>
      </c>
      <c r="Q25" s="349" t="e">
        <f>NA()</f>
        <v>#N/A</v>
      </c>
      <c r="R25" s="349" t="e">
        <f t="shared" si="8"/>
        <v>#N/A</v>
      </c>
      <c r="S25" s="351">
        <f t="shared" si="11"/>
        <v>0</v>
      </c>
      <c r="T25" s="351" t="e">
        <f t="shared" si="9"/>
        <v>#N/A</v>
      </c>
      <c r="U25" s="349" t="e">
        <f>NA()</f>
        <v>#N/A</v>
      </c>
      <c r="V25" s="349" t="e">
        <f t="shared" si="10"/>
        <v>#N/A</v>
      </c>
      <c r="W25" s="339"/>
      <c r="X25" s="339"/>
    </row>
    <row r="26" spans="1:24" x14ac:dyDescent="0.25">
      <c r="A26">
        <v>2021</v>
      </c>
      <c r="B26" s="350">
        <v>25</v>
      </c>
      <c r="C26">
        <f>COUNTIFS('Quote Log'!$B:$B,"&lt;&gt;VOID",'Quote Log'!$B:$B,"&lt;&gt;Requoted",'Quote Log'!$C:$C,"&gt;="&amp;DATE(2021,6,13),'Quote Log'!$C:$C,"&lt;="&amp;DATE(2021,6,19))</f>
        <v>0</v>
      </c>
      <c r="D26" t="e">
        <f t="shared" si="0"/>
        <v>#N/A</v>
      </c>
      <c r="E26">
        <f>COUNTIFS('Quote Log'!$B:$B,"&lt;&gt;VOID",'Quote Log'!$B:$B,"&lt;&gt;Requoted",'Quote Log'!$H:$H,"&gt;="&amp;DATE(2021,6,13),'Quote Log'!$H:$H,"&lt;="&amp;DATE(2021,6,19))</f>
        <v>0</v>
      </c>
      <c r="F26" t="e">
        <f t="shared" si="1"/>
        <v>#N/A</v>
      </c>
      <c r="G26">
        <f>COUNTIFS('Quote Log'!$C:$C,"&gt;="&amp;DATE(2021,6,13),'Quote Log'!$C:$C,"&lt;="&amp;DATE(2021,6,19),'Quote Log'!$B:$B,"=Purchased")</f>
        <v>0</v>
      </c>
      <c r="H26" t="e">
        <f t="shared" si="2"/>
        <v>#N/A</v>
      </c>
      <c r="I26" s="339">
        <f t="shared" si="3"/>
        <v>0</v>
      </c>
      <c r="J26" s="339" t="e">
        <f t="shared" si="4"/>
        <v>#N/A</v>
      </c>
      <c r="K26">
        <f>COUNTIFS('Quote Log'!$C:$C,"&gt;="&amp;DATE(2021,6,13),'Quote Log'!$C:$C,"&lt;="&amp;DATE(2021,6,19),'Quote Log'!$B:$B,"=LOST")</f>
        <v>0</v>
      </c>
      <c r="L26">
        <f>COUNTIFS('Quote Log'!$B:$B,"&lt;&gt;VOID",'Quote Log'!$B:$B,"&lt;&gt;Requoted",'Quote Log'!$C:$C,"&gt;="&amp;DATE(2021,6,13),'Quote Log'!$C:$C,"&lt;="&amp;DATE(2021,6,19),'Quote Log'!$V:$V,"=new")</f>
        <v>0</v>
      </c>
      <c r="M26" s="349">
        <f t="shared" si="5"/>
        <v>0</v>
      </c>
      <c r="N26" s="339" t="e">
        <f t="shared" si="6"/>
        <v>#N/A</v>
      </c>
      <c r="O26" s="351">
        <f>SUMIFS('Quote Log'!$AB:$AB,'Quote Log'!$C:$C,"&gt;="&amp;DATE(2021,6,13),'Quote Log'!$C:$C,"&lt;="&amp;DATE(2021,6,19),'Quote Log'!$B:$B,"=Purchased",'Quote Log'!$AB:$AB,"&lt;&gt;#VALUE!")</f>
        <v>0</v>
      </c>
      <c r="P26" s="351" t="e">
        <f t="shared" si="7"/>
        <v>#N/A</v>
      </c>
      <c r="Q26" s="349" t="e">
        <f>NA()</f>
        <v>#N/A</v>
      </c>
      <c r="R26" s="349" t="e">
        <f t="shared" si="8"/>
        <v>#N/A</v>
      </c>
      <c r="S26" s="351">
        <f t="shared" si="11"/>
        <v>0</v>
      </c>
      <c r="T26" s="351" t="e">
        <f t="shared" si="9"/>
        <v>#N/A</v>
      </c>
      <c r="U26" s="349" t="e">
        <f>NA()</f>
        <v>#N/A</v>
      </c>
      <c r="V26" s="349" t="e">
        <f t="shared" si="10"/>
        <v>#N/A</v>
      </c>
      <c r="W26" s="339"/>
      <c r="X26" s="339"/>
    </row>
    <row r="27" spans="1:24" x14ac:dyDescent="0.25">
      <c r="A27">
        <v>2021</v>
      </c>
      <c r="B27" s="350">
        <v>26</v>
      </c>
      <c r="C27">
        <f>COUNTIFS('Quote Log'!$B:$B,"&lt;&gt;VOID",'Quote Log'!$B:$B,"&lt;&gt;Requoted",'Quote Log'!$C:$C,"&gt;="&amp;DATE(2021,6,20),'Quote Log'!$C:$C,"&lt;="&amp;DATE(2021,6,26))</f>
        <v>0</v>
      </c>
      <c r="D27" t="e">
        <f t="shared" si="0"/>
        <v>#N/A</v>
      </c>
      <c r="E27">
        <f>COUNTIFS('Quote Log'!$B:$B,"&lt;&gt;VOID",'Quote Log'!$B:$B,"&lt;&gt;Requoted",'Quote Log'!$H:$H,"&gt;="&amp;DATE(2021,6,20),'Quote Log'!$H:$H,"&lt;="&amp;DATE(2021,6,26))</f>
        <v>0</v>
      </c>
      <c r="F27" t="e">
        <f t="shared" si="1"/>
        <v>#N/A</v>
      </c>
      <c r="G27">
        <f>COUNTIFS('Quote Log'!$C:$C,"&gt;="&amp;DATE(2021,6,20),'Quote Log'!$C:$C,"&lt;="&amp;DATE(2021,6,26),'Quote Log'!$B:$B,"=Purchased")</f>
        <v>0</v>
      </c>
      <c r="H27" t="e">
        <f t="shared" si="2"/>
        <v>#N/A</v>
      </c>
      <c r="I27" s="339">
        <f t="shared" si="3"/>
        <v>0</v>
      </c>
      <c r="J27" s="339" t="e">
        <f t="shared" si="4"/>
        <v>#N/A</v>
      </c>
      <c r="K27">
        <f>COUNTIFS('Quote Log'!$C:$C,"&gt;="&amp;DATE(2021,6,20),'Quote Log'!$C:$C,"&lt;="&amp;DATE(2021,6,26),'Quote Log'!$B:$B,"=LOST")</f>
        <v>0</v>
      </c>
      <c r="L27">
        <f>COUNTIFS('Quote Log'!$B:$B,"&lt;&gt;VOID",'Quote Log'!$B:$B,"&lt;&gt;Requoted",'Quote Log'!$C:$C,"&gt;="&amp;DATE(2021,6,20),'Quote Log'!$C:$C,"&lt;="&amp;DATE(2021,6,26),'Quote Log'!$V:$V,"=new")</f>
        <v>0</v>
      </c>
      <c r="M27" s="349">
        <f t="shared" si="5"/>
        <v>0</v>
      </c>
      <c r="N27" s="339" t="e">
        <f t="shared" si="6"/>
        <v>#N/A</v>
      </c>
      <c r="O27" s="351">
        <f>SUMIFS('Quote Log'!$AB:$AB,'Quote Log'!$C:$C,"&gt;="&amp;DATE(2021,6,20),'Quote Log'!$C:$C,"&lt;="&amp;DATE(2021,6,26),'Quote Log'!$B:$B,"=Purchased",'Quote Log'!$AB:$AB,"&lt;&gt;#VALUE!")</f>
        <v>0</v>
      </c>
      <c r="P27" s="351" t="e">
        <f t="shared" si="7"/>
        <v>#N/A</v>
      </c>
      <c r="Q27" s="349" t="e">
        <f>NA()</f>
        <v>#N/A</v>
      </c>
      <c r="R27" s="349" t="e">
        <f t="shared" si="8"/>
        <v>#N/A</v>
      </c>
      <c r="S27" s="351">
        <f t="shared" si="11"/>
        <v>0</v>
      </c>
      <c r="T27" s="351" t="e">
        <f t="shared" si="9"/>
        <v>#N/A</v>
      </c>
      <c r="U27" s="349" t="e">
        <f>NA()</f>
        <v>#N/A</v>
      </c>
      <c r="V27" s="349" t="e">
        <f t="shared" si="10"/>
        <v>#N/A</v>
      </c>
      <c r="W27" s="339"/>
      <c r="X27" s="339"/>
    </row>
    <row r="28" spans="1:24" x14ac:dyDescent="0.25">
      <c r="A28">
        <v>2021</v>
      </c>
      <c r="B28" s="350">
        <v>27</v>
      </c>
      <c r="C28">
        <f>COUNTIFS('Quote Log'!$B:$B,"&lt;&gt;VOID",'Quote Log'!$B:$B,"&lt;&gt;Requoted",'Quote Log'!$C:$C,"&gt;="&amp;DATE(2021,6,27),'Quote Log'!$C:$C,"&lt;="&amp;DATE(2021,7,3))</f>
        <v>0</v>
      </c>
      <c r="D28" t="e">
        <f t="shared" si="0"/>
        <v>#N/A</v>
      </c>
      <c r="E28">
        <f>COUNTIFS('Quote Log'!$B:$B,"&lt;&gt;VOID",'Quote Log'!$B:$B,"&lt;&gt;Requoted",'Quote Log'!$H:$H,"&gt;="&amp;DATE(2021,6,27),'Quote Log'!$H:$H,"&lt;="&amp;DATE(2021,7,3))</f>
        <v>0</v>
      </c>
      <c r="F28" t="e">
        <f t="shared" si="1"/>
        <v>#N/A</v>
      </c>
      <c r="G28">
        <f>COUNTIFS('Quote Log'!$C:$C,"&gt;="&amp;DATE(2021,6,27),'Quote Log'!$C:$C,"&lt;="&amp;DATE(2021,7,3),'Quote Log'!$B:$B,"=Purchased")</f>
        <v>0</v>
      </c>
      <c r="H28" t="e">
        <f t="shared" si="2"/>
        <v>#N/A</v>
      </c>
      <c r="I28" s="339">
        <f t="shared" si="3"/>
        <v>0</v>
      </c>
      <c r="J28" s="339" t="e">
        <f t="shared" si="4"/>
        <v>#N/A</v>
      </c>
      <c r="K28">
        <f>COUNTIFS('Quote Log'!$C:$C,"&gt;="&amp;DATE(2021,6,27),'Quote Log'!$C:$C,"&lt;="&amp;DATE(2021,7,3),'Quote Log'!$B:$B,"=LOST")</f>
        <v>0</v>
      </c>
      <c r="L28">
        <f>COUNTIFS('Quote Log'!$B:$B,"&lt;&gt;VOID",'Quote Log'!$B:$B,"&lt;&gt;Requoted",'Quote Log'!$C:$C,"&gt;="&amp;DATE(2021,6,27),'Quote Log'!$C:$C,"&lt;="&amp;DATE(2021,7,3),'Quote Log'!$V:$V,"=new")</f>
        <v>0</v>
      </c>
      <c r="M28" s="349">
        <f t="shared" si="5"/>
        <v>0</v>
      </c>
      <c r="N28" s="339" t="e">
        <f t="shared" si="6"/>
        <v>#N/A</v>
      </c>
      <c r="O28" s="351">
        <f>SUMIFS('Quote Log'!$AB:$AB,'Quote Log'!$C:$C,"&gt;="&amp;DATE(2021,6,27),'Quote Log'!$C:$C,"&lt;="&amp;DATE(2021,7,3),'Quote Log'!$B:$B,"=Purchased",'Quote Log'!$AB:$AB,"&lt;&gt;#VALUE!")</f>
        <v>0</v>
      </c>
      <c r="P28" s="351" t="e">
        <f t="shared" si="7"/>
        <v>#N/A</v>
      </c>
      <c r="Q28" s="349" t="e">
        <f>NA()</f>
        <v>#N/A</v>
      </c>
      <c r="R28" s="349" t="e">
        <f t="shared" si="8"/>
        <v>#N/A</v>
      </c>
      <c r="S28" s="351">
        <f t="shared" si="11"/>
        <v>0</v>
      </c>
      <c r="T28" s="351" t="e">
        <f t="shared" si="9"/>
        <v>#N/A</v>
      </c>
      <c r="U28" s="349" t="e">
        <f>NA()</f>
        <v>#N/A</v>
      </c>
      <c r="V28" s="349" t="e">
        <f t="shared" si="10"/>
        <v>#N/A</v>
      </c>
      <c r="W28" s="339"/>
      <c r="X28" s="339"/>
    </row>
    <row r="29" spans="1:24" x14ac:dyDescent="0.25">
      <c r="A29">
        <v>2021</v>
      </c>
      <c r="B29" s="350">
        <v>28</v>
      </c>
      <c r="C29">
        <f>COUNTIFS('Quote Log'!$B:$B,"&lt;&gt;VOID",'Quote Log'!$B:$B,"&lt;&gt;Requoted",'Quote Log'!$C:$C,"&gt;="&amp;DATE(2021,7,4),'Quote Log'!$C:$C,"&lt;="&amp;DATE(2021,7,10))</f>
        <v>0</v>
      </c>
      <c r="D29" t="e">
        <f t="shared" si="0"/>
        <v>#N/A</v>
      </c>
      <c r="E29">
        <f>COUNTIFS('Quote Log'!$B:$B,"&lt;&gt;VOID",'Quote Log'!$B:$B,"&lt;&gt;Requoted",'Quote Log'!$H:$H,"&gt;="&amp;DATE(2021,7,4),'Quote Log'!$H:$H,"&lt;="&amp;DATE(2021,7,10))</f>
        <v>0</v>
      </c>
      <c r="F29" t="e">
        <f t="shared" si="1"/>
        <v>#N/A</v>
      </c>
      <c r="G29">
        <f>COUNTIFS('Quote Log'!$C:$C,"&gt;="&amp;DATE(2021,7,4),'Quote Log'!$C:$C,"&lt;="&amp;DATE(2021,7,10),'Quote Log'!$B:$B,"=Purchased")</f>
        <v>0</v>
      </c>
      <c r="H29" t="e">
        <f t="shared" si="2"/>
        <v>#N/A</v>
      </c>
      <c r="I29" s="339">
        <f t="shared" si="3"/>
        <v>0</v>
      </c>
      <c r="J29" s="339" t="e">
        <f t="shared" si="4"/>
        <v>#N/A</v>
      </c>
      <c r="K29">
        <f>COUNTIFS('Quote Log'!$C:$C,"&gt;="&amp;DATE(2021,7,4),'Quote Log'!$C:$C,"&lt;="&amp;DATE(2021,7,10),'Quote Log'!$B:$B,"=LOST")</f>
        <v>0</v>
      </c>
      <c r="L29">
        <f>COUNTIFS('Quote Log'!$B:$B,"&lt;&gt;VOID",'Quote Log'!$B:$B,"&lt;&gt;Requoted",'Quote Log'!$C:$C,"&gt;="&amp;DATE(2021,7,4),'Quote Log'!$C:$C,"&lt;="&amp;DATE(2021,7,10),'Quote Log'!$V:$V,"=new")</f>
        <v>0</v>
      </c>
      <c r="M29" s="349">
        <f t="shared" si="5"/>
        <v>0</v>
      </c>
      <c r="N29" s="339" t="e">
        <f t="shared" si="6"/>
        <v>#N/A</v>
      </c>
      <c r="O29" s="351">
        <f>SUMIFS('Quote Log'!$AB:$AB,'Quote Log'!$C:$C,"&gt;="&amp;DATE(2021,7,4),'Quote Log'!$C:$C,"&lt;="&amp;DATE(2021,7,10),'Quote Log'!$B:$B,"=Purchased",'Quote Log'!$AB:$AB,"&lt;&gt;#VALUE!")</f>
        <v>0</v>
      </c>
      <c r="P29" s="351" t="e">
        <f t="shared" si="7"/>
        <v>#N/A</v>
      </c>
      <c r="Q29" s="349" t="e">
        <f>NA()</f>
        <v>#N/A</v>
      </c>
      <c r="R29" s="349" t="e">
        <f t="shared" si="8"/>
        <v>#N/A</v>
      </c>
      <c r="S29" s="351">
        <f t="shared" si="11"/>
        <v>0</v>
      </c>
      <c r="T29" s="351" t="e">
        <f t="shared" si="9"/>
        <v>#N/A</v>
      </c>
      <c r="U29" s="349" t="e">
        <f>NA()</f>
        <v>#N/A</v>
      </c>
      <c r="V29" s="349" t="e">
        <f t="shared" si="10"/>
        <v>#N/A</v>
      </c>
      <c r="W29" s="339"/>
      <c r="X29" s="339"/>
    </row>
    <row r="30" spans="1:24" x14ac:dyDescent="0.25">
      <c r="A30">
        <v>2021</v>
      </c>
      <c r="B30" s="350">
        <v>29</v>
      </c>
      <c r="C30">
        <f>COUNTIFS('Quote Log'!$B:$B,"&lt;&gt;VOID",'Quote Log'!$B:$B,"&lt;&gt;Requoted",'Quote Log'!$C:$C,"&gt;="&amp;DATE(2021,7,11),'Quote Log'!$C:$C,"&lt;="&amp;DATE(2021,7,17))</f>
        <v>0</v>
      </c>
      <c r="D30" t="e">
        <f t="shared" si="0"/>
        <v>#N/A</v>
      </c>
      <c r="E30">
        <f>COUNTIFS('Quote Log'!$B:$B,"&lt;&gt;VOID",'Quote Log'!$B:$B,"&lt;&gt;Requoted",'Quote Log'!$H:$H,"&gt;="&amp;DATE(2021,7,11),'Quote Log'!$H:$H,"&lt;="&amp;DATE(2021,7,17))</f>
        <v>0</v>
      </c>
      <c r="F30" t="e">
        <f t="shared" si="1"/>
        <v>#N/A</v>
      </c>
      <c r="G30">
        <f>COUNTIFS('Quote Log'!$C:$C,"&gt;="&amp;DATE(2021,7,11),'Quote Log'!$C:$C,"&lt;="&amp;DATE(2021,7,17),'Quote Log'!$B:$B,"=Purchased")</f>
        <v>0</v>
      </c>
      <c r="H30" t="e">
        <f t="shared" si="2"/>
        <v>#N/A</v>
      </c>
      <c r="I30" s="339">
        <f t="shared" si="3"/>
        <v>0</v>
      </c>
      <c r="J30" s="339" t="e">
        <f t="shared" si="4"/>
        <v>#N/A</v>
      </c>
      <c r="K30">
        <f>COUNTIFS('Quote Log'!$C:$C,"&gt;="&amp;DATE(2021,7,11),'Quote Log'!$C:$C,"&lt;="&amp;DATE(2021,7,17),'Quote Log'!$B:$B,"=LOST")</f>
        <v>0</v>
      </c>
      <c r="L30">
        <f>COUNTIFS('Quote Log'!$B:$B,"&lt;&gt;VOID",'Quote Log'!$B:$B,"&lt;&gt;Requoted",'Quote Log'!$C:$C,"&gt;="&amp;DATE(2021,7,11),'Quote Log'!$C:$C,"&lt;="&amp;DATE(2021,7,17),'Quote Log'!$V:$V,"=new")</f>
        <v>0</v>
      </c>
      <c r="M30" s="349">
        <f t="shared" si="5"/>
        <v>0</v>
      </c>
      <c r="N30" s="339" t="e">
        <f t="shared" si="6"/>
        <v>#N/A</v>
      </c>
      <c r="O30" s="351">
        <f>SUMIFS('Quote Log'!$AB:$AB,'Quote Log'!$C:$C,"&gt;="&amp;DATE(2021,7,11),'Quote Log'!$C:$C,"&lt;="&amp;DATE(2021,7,17),'Quote Log'!$B:$B,"=Purchased",'Quote Log'!$AB:$AB,"&lt;&gt;#VALUE!")</f>
        <v>0</v>
      </c>
      <c r="P30" s="351" t="e">
        <f t="shared" si="7"/>
        <v>#N/A</v>
      </c>
      <c r="Q30" s="349" t="e">
        <f>NA()</f>
        <v>#N/A</v>
      </c>
      <c r="R30" s="349" t="e">
        <f t="shared" si="8"/>
        <v>#N/A</v>
      </c>
      <c r="S30" s="351">
        <f t="shared" si="11"/>
        <v>0</v>
      </c>
      <c r="T30" s="351" t="e">
        <f t="shared" si="9"/>
        <v>#N/A</v>
      </c>
      <c r="U30" s="349" t="e">
        <f>NA()</f>
        <v>#N/A</v>
      </c>
      <c r="V30" s="349" t="e">
        <f t="shared" si="10"/>
        <v>#N/A</v>
      </c>
      <c r="W30" s="339"/>
      <c r="X30" s="339"/>
    </row>
    <row r="31" spans="1:24" x14ac:dyDescent="0.25">
      <c r="A31">
        <v>2021</v>
      </c>
      <c r="B31" s="350">
        <v>30</v>
      </c>
      <c r="C31">
        <f>COUNTIFS('Quote Log'!$B:$B,"&lt;&gt;VOID",'Quote Log'!$B:$B,"&lt;&gt;Requoted",'Quote Log'!$C:$C,"&gt;="&amp;DATE(2021,7,18),'Quote Log'!$C:$C,"&lt;="&amp;DATE(2021,7,24))</f>
        <v>0</v>
      </c>
      <c r="D31" t="e">
        <f t="shared" si="0"/>
        <v>#N/A</v>
      </c>
      <c r="E31">
        <f>COUNTIFS('Quote Log'!$B:$B,"&lt;&gt;VOID",'Quote Log'!$B:$B,"&lt;&gt;Requoted",'Quote Log'!$H:$H,"&gt;="&amp;DATE(2021,7,18),'Quote Log'!$H:$H,"&lt;="&amp;DATE(2021,7,24))</f>
        <v>0</v>
      </c>
      <c r="F31" t="e">
        <f t="shared" si="1"/>
        <v>#N/A</v>
      </c>
      <c r="G31">
        <f>COUNTIFS('Quote Log'!$C:$C,"&gt;="&amp;DATE(2021,7,18),'Quote Log'!$C:$C,"&lt;="&amp;DATE(2021,7,24),'Quote Log'!$B:$B,"=Purchased")</f>
        <v>0</v>
      </c>
      <c r="H31" t="e">
        <f t="shared" si="2"/>
        <v>#N/A</v>
      </c>
      <c r="I31" s="339">
        <f t="shared" si="3"/>
        <v>0</v>
      </c>
      <c r="J31" s="339" t="e">
        <f t="shared" si="4"/>
        <v>#N/A</v>
      </c>
      <c r="K31">
        <f>COUNTIFS('Quote Log'!$C:$C,"&gt;="&amp;DATE(2021,7,18),'Quote Log'!$C:$C,"&lt;="&amp;DATE(2021,7,24),'Quote Log'!$B:$B,"=LOST")</f>
        <v>0</v>
      </c>
      <c r="L31">
        <f>COUNTIFS('Quote Log'!$B:$B,"&lt;&gt;VOID",'Quote Log'!$B:$B,"&lt;&gt;Requoted",'Quote Log'!$C:$C,"&gt;="&amp;DATE(2021,7,18),'Quote Log'!$C:$C,"&lt;="&amp;DATE(2021,7,24),'Quote Log'!$V:$V,"=new")</f>
        <v>0</v>
      </c>
      <c r="M31" s="349">
        <f t="shared" si="5"/>
        <v>0</v>
      </c>
      <c r="N31" s="339" t="e">
        <f t="shared" si="6"/>
        <v>#N/A</v>
      </c>
      <c r="O31" s="351">
        <f>SUMIFS('Quote Log'!$AB:$AB,'Quote Log'!$C:$C,"&gt;="&amp;DATE(2021,7,18),'Quote Log'!$C:$C,"&lt;="&amp;DATE(2021,7,24),'Quote Log'!$B:$B,"=Purchased",'Quote Log'!$AB:$AB,"&lt;&gt;#VALUE!")</f>
        <v>0</v>
      </c>
      <c r="P31" s="351" t="e">
        <f t="shared" si="7"/>
        <v>#N/A</v>
      </c>
      <c r="Q31" s="349" t="e">
        <f>NA()</f>
        <v>#N/A</v>
      </c>
      <c r="R31" s="349" t="e">
        <f t="shared" si="8"/>
        <v>#N/A</v>
      </c>
      <c r="S31" s="351">
        <f t="shared" si="11"/>
        <v>0</v>
      </c>
      <c r="T31" s="351" t="e">
        <f t="shared" si="9"/>
        <v>#N/A</v>
      </c>
      <c r="U31" s="349" t="e">
        <f>NA()</f>
        <v>#N/A</v>
      </c>
      <c r="V31" s="349" t="e">
        <f t="shared" si="10"/>
        <v>#N/A</v>
      </c>
      <c r="W31" s="339"/>
      <c r="X31" s="339"/>
    </row>
    <row r="32" spans="1:24" x14ac:dyDescent="0.25">
      <c r="A32">
        <v>2021</v>
      </c>
      <c r="B32" s="350">
        <v>31</v>
      </c>
      <c r="C32">
        <f>COUNTIFS('Quote Log'!$B:$B,"&lt;&gt;VOID",'Quote Log'!$B:$B,"&lt;&gt;Requoted",'Quote Log'!$C:$C,"&gt;="&amp;DATE(2021,7,25),'Quote Log'!$C:$C,"&lt;="&amp;DATE(2021,7,31))</f>
        <v>0</v>
      </c>
      <c r="D32" t="e">
        <f t="shared" si="0"/>
        <v>#N/A</v>
      </c>
      <c r="E32">
        <f>COUNTIFS('Quote Log'!$B:$B,"&lt;&gt;VOID",'Quote Log'!$B:$B,"&lt;&gt;Requoted",'Quote Log'!$H:$H,"&gt;="&amp;DATE(2021,7,25),'Quote Log'!$H:$H,"&lt;="&amp;DATE(2021,7,31))</f>
        <v>0</v>
      </c>
      <c r="F32" t="e">
        <f t="shared" si="1"/>
        <v>#N/A</v>
      </c>
      <c r="G32">
        <f>COUNTIFS('Quote Log'!$C:$C,"&gt;="&amp;DATE(2021,7,25),'Quote Log'!$C:$C,"&lt;="&amp;DATE(2021,7,31),'Quote Log'!$B:$B,"=Purchased")</f>
        <v>0</v>
      </c>
      <c r="H32" t="e">
        <f t="shared" si="2"/>
        <v>#N/A</v>
      </c>
      <c r="I32" s="339">
        <f t="shared" si="3"/>
        <v>0</v>
      </c>
      <c r="J32" s="339" t="e">
        <f t="shared" si="4"/>
        <v>#N/A</v>
      </c>
      <c r="K32">
        <f>COUNTIFS('Quote Log'!$C:$C,"&gt;="&amp;DATE(2021,7,25),'Quote Log'!$C:$C,"&lt;="&amp;DATE(2021,7,31),'Quote Log'!$B:$B,"=LOST")</f>
        <v>0</v>
      </c>
      <c r="L32">
        <f>COUNTIFS('Quote Log'!$B:$B,"&lt;&gt;VOID",'Quote Log'!$B:$B,"&lt;&gt;Requoted",'Quote Log'!$C:$C,"&gt;="&amp;DATE(2021,7,25),'Quote Log'!$C:$C,"&lt;="&amp;DATE(2021,7,31),'Quote Log'!$V:$V,"=new")</f>
        <v>0</v>
      </c>
      <c r="M32" s="349">
        <f t="shared" si="5"/>
        <v>0</v>
      </c>
      <c r="N32" s="339" t="e">
        <f t="shared" si="6"/>
        <v>#N/A</v>
      </c>
      <c r="O32" s="351">
        <f>SUMIFS('Quote Log'!$AB:$AB,'Quote Log'!$C:$C,"&gt;="&amp;DATE(2021,7,25),'Quote Log'!$C:$C,"&lt;="&amp;DATE(2021,7,31),'Quote Log'!$B:$B,"=Purchased",'Quote Log'!$AB:$AB,"&lt;&gt;#VALUE!")</f>
        <v>0</v>
      </c>
      <c r="P32" s="351" t="e">
        <f t="shared" si="7"/>
        <v>#N/A</v>
      </c>
      <c r="Q32" s="349" t="e">
        <f>NA()</f>
        <v>#N/A</v>
      </c>
      <c r="R32" s="349" t="e">
        <f t="shared" si="8"/>
        <v>#N/A</v>
      </c>
      <c r="S32" s="351">
        <f t="shared" si="11"/>
        <v>0</v>
      </c>
      <c r="T32" s="351" t="e">
        <f t="shared" si="9"/>
        <v>#N/A</v>
      </c>
      <c r="U32" s="349" t="e">
        <f>NA()</f>
        <v>#N/A</v>
      </c>
      <c r="V32" s="349" t="e">
        <f t="shared" si="10"/>
        <v>#N/A</v>
      </c>
      <c r="W32" s="339"/>
      <c r="X32" s="339"/>
    </row>
    <row r="33" spans="1:24" x14ac:dyDescent="0.25">
      <c r="A33">
        <v>2021</v>
      </c>
      <c r="B33" s="350">
        <v>32</v>
      </c>
      <c r="C33">
        <f>COUNTIFS('Quote Log'!$B:$B,"&lt;&gt;VOID",'Quote Log'!$B:$B,"&lt;&gt;Requoted",'Quote Log'!$C:$C,"&gt;="&amp;DATE(2021,8,1),'Quote Log'!$C:$C,"&lt;="&amp;DATE(2021,8,7))</f>
        <v>0</v>
      </c>
      <c r="D33" t="e">
        <f t="shared" si="0"/>
        <v>#N/A</v>
      </c>
      <c r="E33">
        <f>COUNTIFS('Quote Log'!$B:$B,"&lt;&gt;VOID",'Quote Log'!$B:$B,"&lt;&gt;Requoted",'Quote Log'!$H:$H,"&gt;="&amp;DATE(2021,8,1),'Quote Log'!$H:$H,"&lt;="&amp;DATE(2021,8,7))</f>
        <v>0</v>
      </c>
      <c r="F33" t="e">
        <f t="shared" si="1"/>
        <v>#N/A</v>
      </c>
      <c r="G33">
        <f>COUNTIFS('Quote Log'!$C:$C,"&gt;="&amp;DATE(2021,8,1),'Quote Log'!$C:$C,"&lt;="&amp;DATE(2021,8,7),'Quote Log'!$B:$B,"=Purchased")</f>
        <v>0</v>
      </c>
      <c r="H33" t="e">
        <f t="shared" si="2"/>
        <v>#N/A</v>
      </c>
      <c r="I33" s="339">
        <f t="shared" si="3"/>
        <v>0</v>
      </c>
      <c r="J33" s="339" t="e">
        <f t="shared" si="4"/>
        <v>#N/A</v>
      </c>
      <c r="K33">
        <f>COUNTIFS('Quote Log'!$C:$C,"&gt;="&amp;DATE(2021,8,1),'Quote Log'!$C:$C,"&lt;="&amp;DATE(2021,8,7),'Quote Log'!$B:$B,"=LOST")</f>
        <v>0</v>
      </c>
      <c r="L33">
        <f>COUNTIFS('Quote Log'!$B:$B,"&lt;&gt;VOID",'Quote Log'!$B:$B,"&lt;&gt;Requoted",'Quote Log'!$C:$C,"&gt;="&amp;DATE(2021,8,1),'Quote Log'!$C:$C,"&lt;="&amp;DATE(2021,8,7),'Quote Log'!$V:$V,"=new")</f>
        <v>0</v>
      </c>
      <c r="M33" s="349">
        <f t="shared" si="5"/>
        <v>0</v>
      </c>
      <c r="N33" s="339" t="e">
        <f t="shared" si="6"/>
        <v>#N/A</v>
      </c>
      <c r="O33" s="351">
        <f>SUMIFS('Quote Log'!$AB:$AB,'Quote Log'!$C:$C,"&gt;="&amp;DATE(2021,8,1),'Quote Log'!$C:$C,"&lt;="&amp;DATE(2021,8,7),'Quote Log'!$B:$B,"=Purchased",'Quote Log'!$AB:$AB,"&lt;&gt;#VALUE!")</f>
        <v>0</v>
      </c>
      <c r="P33" s="351" t="e">
        <f t="shared" si="7"/>
        <v>#N/A</v>
      </c>
      <c r="Q33" s="349" t="e">
        <f>NA()</f>
        <v>#N/A</v>
      </c>
      <c r="R33" s="349" t="e">
        <f t="shared" si="8"/>
        <v>#N/A</v>
      </c>
      <c r="S33" s="351">
        <f t="shared" si="11"/>
        <v>0</v>
      </c>
      <c r="T33" s="351" t="e">
        <f t="shared" si="9"/>
        <v>#N/A</v>
      </c>
      <c r="U33" s="349" t="e">
        <f>NA()</f>
        <v>#N/A</v>
      </c>
      <c r="V33" s="349" t="e">
        <f t="shared" si="10"/>
        <v>#N/A</v>
      </c>
      <c r="W33" s="339"/>
      <c r="X33" s="339"/>
    </row>
    <row r="34" spans="1:24" x14ac:dyDescent="0.25">
      <c r="A34">
        <v>2021</v>
      </c>
      <c r="B34" s="350">
        <v>33</v>
      </c>
      <c r="C34">
        <f>COUNTIFS('Quote Log'!$B:$B,"&lt;&gt;VOID",'Quote Log'!$B:$B,"&lt;&gt;Requoted",'Quote Log'!$C:$C,"&gt;="&amp;DATE(2021,8,8),'Quote Log'!$C:$C,"&lt;="&amp;DATE(2021,8,14))</f>
        <v>0</v>
      </c>
      <c r="D34" t="e">
        <f t="shared" ref="D34:D54" si="12">IF($Z$2,C34,NA())</f>
        <v>#N/A</v>
      </c>
      <c r="E34">
        <f>COUNTIFS('Quote Log'!$B:$B,"&lt;&gt;VOID",'Quote Log'!$B:$B,"&lt;&gt;Requoted",'Quote Log'!$H:$H,"&gt;="&amp;DATE(2021,8,8),'Quote Log'!$H:$H,"&lt;="&amp;DATE(2021,8,14))</f>
        <v>0</v>
      </c>
      <c r="F34" t="e">
        <f t="shared" ref="F34:F54" si="13">IF($Z$2,E34,NA())</f>
        <v>#N/A</v>
      </c>
      <c r="G34">
        <f>COUNTIFS('Quote Log'!$C:$C,"&gt;="&amp;DATE(2021,8,8),'Quote Log'!$C:$C,"&lt;="&amp;DATE(2021,8,14),'Quote Log'!$B:$B,"=Purchased")</f>
        <v>0</v>
      </c>
      <c r="H34" t="e">
        <f t="shared" ref="H34:H54" si="14">IF(Z$2,G34,NA())</f>
        <v>#N/A</v>
      </c>
      <c r="I34" s="339">
        <f t="shared" si="3"/>
        <v>0</v>
      </c>
      <c r="J34" s="339" t="e">
        <f t="shared" ref="J34:J54" si="15">IF($Z$2,I34,NA())</f>
        <v>#N/A</v>
      </c>
      <c r="K34">
        <f>COUNTIFS('Quote Log'!$C:$C,"&gt;="&amp;DATE(2021,8,8),'Quote Log'!$C:$C,"&lt;="&amp;DATE(2021,8,14),'Quote Log'!$B:$B,"=LOST")</f>
        <v>0</v>
      </c>
      <c r="L34">
        <f>COUNTIFS('Quote Log'!$B:$B,"&lt;&gt;VOID",'Quote Log'!$B:$B,"&lt;&gt;Requoted",'Quote Log'!$C:$C,"&gt;="&amp;DATE(2021,8,8),'Quote Log'!$C:$C,"&lt;="&amp;DATE(2021,8,14),'Quote Log'!$V:$V,"=new")</f>
        <v>0</v>
      </c>
      <c r="M34" s="349">
        <f t="shared" si="5"/>
        <v>0</v>
      </c>
      <c r="N34" s="339" t="e">
        <f t="shared" ref="N34:N54" si="16">IF($Z$2,M34,NA())</f>
        <v>#N/A</v>
      </c>
      <c r="O34" s="351">
        <f>SUMIFS('Quote Log'!$AB:$AB,'Quote Log'!$C:$C,"&gt;="&amp;DATE(2021,8,8),'Quote Log'!$C:$C,"&lt;="&amp;DATE(2021,8,14),'Quote Log'!$B:$B,"=Purchased",'Quote Log'!$AB:$AB,"&lt;&gt;#VALUE!")</f>
        <v>0</v>
      </c>
      <c r="P34" s="351" t="e">
        <f t="shared" ref="P34:P54" si="17">IF($Z$2,O34,NA())</f>
        <v>#N/A</v>
      </c>
      <c r="Q34" s="349" t="e">
        <f>NA()</f>
        <v>#N/A</v>
      </c>
      <c r="R34" s="349" t="e">
        <f t="shared" ref="R34:R54" si="18">IF($Z$2,Q34,NA())</f>
        <v>#N/A</v>
      </c>
      <c r="S34" s="351">
        <f t="shared" si="11"/>
        <v>0</v>
      </c>
      <c r="T34" s="351" t="e">
        <f t="shared" ref="T34:T54" si="19">IF($Z$2,S34,NA())</f>
        <v>#N/A</v>
      </c>
      <c r="U34" s="349" t="e">
        <f>NA()</f>
        <v>#N/A</v>
      </c>
      <c r="V34" s="349" t="e">
        <f t="shared" ref="V34:V54" si="20">IF($Z$2,U34,NA())</f>
        <v>#N/A</v>
      </c>
      <c r="W34" s="339"/>
      <c r="X34" s="339"/>
    </row>
    <row r="35" spans="1:24" x14ac:dyDescent="0.25">
      <c r="A35">
        <v>2021</v>
      </c>
      <c r="B35" s="350">
        <v>34</v>
      </c>
      <c r="C35">
        <f>COUNTIFS('Quote Log'!$B:$B,"&lt;&gt;VOID",'Quote Log'!$B:$B,"&lt;&gt;Requoted",'Quote Log'!$C:$C,"&gt;="&amp;DATE(2021,8,15),'Quote Log'!$C:$C,"&lt;="&amp;DATE(2021,8,21))</f>
        <v>0</v>
      </c>
      <c r="D35" t="e">
        <f t="shared" si="12"/>
        <v>#N/A</v>
      </c>
      <c r="E35">
        <f>COUNTIFS('Quote Log'!$B:$B,"&lt;&gt;VOID",'Quote Log'!$B:$B,"&lt;&gt;Requoted",'Quote Log'!$H:$H,"&gt;="&amp;DATE(2021,8,15),'Quote Log'!$H:$H,"&lt;="&amp;DATE(2021,8,21))</f>
        <v>0</v>
      </c>
      <c r="F35" t="e">
        <f t="shared" si="13"/>
        <v>#N/A</v>
      </c>
      <c r="G35">
        <f>COUNTIFS('Quote Log'!$C:$C,"&gt;="&amp;DATE(2021,8,15),'Quote Log'!$C:$C,"&lt;="&amp;DATE(2021,8,21),'Quote Log'!$B:$B,"=Purchased")</f>
        <v>0</v>
      </c>
      <c r="H35" t="e">
        <f t="shared" si="14"/>
        <v>#N/A</v>
      </c>
      <c r="I35" s="339">
        <f t="shared" si="3"/>
        <v>0</v>
      </c>
      <c r="J35" s="339" t="e">
        <f t="shared" si="15"/>
        <v>#N/A</v>
      </c>
      <c r="K35">
        <f>COUNTIFS('Quote Log'!$C:$C,"&gt;="&amp;DATE(2021,8,15),'Quote Log'!$C:$C,"&lt;="&amp;DATE(2021,8,21),'Quote Log'!$B:$B,"=LOST")</f>
        <v>0</v>
      </c>
      <c r="L35">
        <f>COUNTIFS('Quote Log'!$B:$B,"&lt;&gt;VOID",'Quote Log'!$B:$B,"&lt;&gt;Requoted",'Quote Log'!$C:$C,"&gt;="&amp;DATE(2021,8,15),'Quote Log'!$C:$C,"&lt;="&amp;DATE(2021,8,21),'Quote Log'!$V:$V,"=new")</f>
        <v>0</v>
      </c>
      <c r="M35" s="349">
        <f t="shared" si="5"/>
        <v>0</v>
      </c>
      <c r="N35" s="339" t="e">
        <f t="shared" si="16"/>
        <v>#N/A</v>
      </c>
      <c r="O35" s="351">
        <f>SUMIFS('Quote Log'!$AB:$AB,'Quote Log'!$C:$C,"&gt;="&amp;DATE(2021,8,15),'Quote Log'!$C:$C,"&lt;="&amp;DATE(2021,8,21),'Quote Log'!$B:$B,"=Purchased",'Quote Log'!$AB:$AB,"&lt;&gt;#VALUE!")</f>
        <v>0</v>
      </c>
      <c r="P35" s="351" t="e">
        <f t="shared" si="17"/>
        <v>#N/A</v>
      </c>
      <c r="Q35" s="349" t="e">
        <f>NA()</f>
        <v>#N/A</v>
      </c>
      <c r="R35" s="349" t="e">
        <f t="shared" si="18"/>
        <v>#N/A</v>
      </c>
      <c r="S35" s="351">
        <f t="shared" ref="S35:S54" si="21">O35+S34</f>
        <v>0</v>
      </c>
      <c r="T35" s="351" t="e">
        <f t="shared" si="19"/>
        <v>#N/A</v>
      </c>
      <c r="U35" s="349" t="e">
        <f>NA()</f>
        <v>#N/A</v>
      </c>
      <c r="V35" s="349" t="e">
        <f t="shared" si="20"/>
        <v>#N/A</v>
      </c>
      <c r="W35" s="339"/>
      <c r="X35" s="339"/>
    </row>
    <row r="36" spans="1:24" x14ac:dyDescent="0.25">
      <c r="A36">
        <v>2021</v>
      </c>
      <c r="B36" s="350">
        <v>35</v>
      </c>
      <c r="C36">
        <f>COUNTIFS('Quote Log'!$B:$B,"&lt;&gt;VOID",'Quote Log'!$B:$B,"&lt;&gt;Requoted",'Quote Log'!$C:$C,"&gt;="&amp;DATE(2021,8,22),'Quote Log'!$C:$C,"&lt;="&amp;DATE(2021,8,28))</f>
        <v>0</v>
      </c>
      <c r="D36" t="e">
        <f t="shared" si="12"/>
        <v>#N/A</v>
      </c>
      <c r="E36">
        <f>COUNTIFS('Quote Log'!$B:$B,"&lt;&gt;VOID",'Quote Log'!$B:$B,"&lt;&gt;Requoted",'Quote Log'!$H:$H,"&gt;="&amp;DATE(2021,8,22),'Quote Log'!$H:$H,"&lt;="&amp;DATE(2021,8,28))</f>
        <v>0</v>
      </c>
      <c r="F36" t="e">
        <f t="shared" si="13"/>
        <v>#N/A</v>
      </c>
      <c r="G36">
        <f>COUNTIFS('Quote Log'!$C:$C,"&gt;="&amp;DATE(2021,8,22),'Quote Log'!$C:$C,"&lt;="&amp;DATE(2021,8,28),'Quote Log'!$B:$B,"=Purchased")</f>
        <v>0</v>
      </c>
      <c r="H36" t="e">
        <f t="shared" si="14"/>
        <v>#N/A</v>
      </c>
      <c r="I36" s="339">
        <f t="shared" si="3"/>
        <v>0</v>
      </c>
      <c r="J36" s="339" t="e">
        <f t="shared" si="15"/>
        <v>#N/A</v>
      </c>
      <c r="K36">
        <f>COUNTIFS('Quote Log'!$C:$C,"&gt;="&amp;DATE(2021,8,22),'Quote Log'!$C:$C,"&lt;="&amp;DATE(2021,8,28),'Quote Log'!$B:$B,"=LOST")</f>
        <v>0</v>
      </c>
      <c r="L36">
        <f>COUNTIFS('Quote Log'!$B:$B,"&lt;&gt;VOID",'Quote Log'!$B:$B,"&lt;&gt;Requoted",'Quote Log'!$C:$C,"&gt;="&amp;DATE(2021,8,22),'Quote Log'!$C:$C,"&lt;="&amp;DATE(2021,8,28),'Quote Log'!$V:$V,"=new")</f>
        <v>0</v>
      </c>
      <c r="M36" s="349">
        <f t="shared" si="5"/>
        <v>0</v>
      </c>
      <c r="N36" s="339" t="e">
        <f t="shared" si="16"/>
        <v>#N/A</v>
      </c>
      <c r="O36" s="351">
        <f>SUMIFS('Quote Log'!$AB:$AB,'Quote Log'!$C:$C,"&gt;="&amp;DATE(2021,8,22),'Quote Log'!$C:$C,"&lt;="&amp;DATE(2021,8,28),'Quote Log'!$B:$B,"=Purchased",'Quote Log'!$AB:$AB,"&lt;&gt;#VALUE!")</f>
        <v>0</v>
      </c>
      <c r="P36" s="351" t="e">
        <f t="shared" si="17"/>
        <v>#N/A</v>
      </c>
      <c r="Q36" s="349" t="e">
        <f>NA()</f>
        <v>#N/A</v>
      </c>
      <c r="R36" s="349" t="e">
        <f t="shared" si="18"/>
        <v>#N/A</v>
      </c>
      <c r="S36" s="351">
        <f t="shared" si="21"/>
        <v>0</v>
      </c>
      <c r="T36" s="351" t="e">
        <f t="shared" si="19"/>
        <v>#N/A</v>
      </c>
      <c r="U36" s="349" t="e">
        <f>NA()</f>
        <v>#N/A</v>
      </c>
      <c r="V36" s="349" t="e">
        <f t="shared" si="20"/>
        <v>#N/A</v>
      </c>
      <c r="W36" s="339"/>
      <c r="X36" s="339"/>
    </row>
    <row r="37" spans="1:24" x14ac:dyDescent="0.25">
      <c r="A37">
        <v>2021</v>
      </c>
      <c r="B37" s="350">
        <v>36</v>
      </c>
      <c r="C37">
        <f>COUNTIFS('Quote Log'!$B:$B,"&lt;&gt;VOID",'Quote Log'!$B:$B,"&lt;&gt;Requoted",'Quote Log'!$C:$C,"&gt;="&amp;DATE(2021,8,29),'Quote Log'!$C:$C,"&lt;="&amp;DATE(2021,9,4))</f>
        <v>0</v>
      </c>
      <c r="D37" t="e">
        <f t="shared" si="12"/>
        <v>#N/A</v>
      </c>
      <c r="E37">
        <f>COUNTIFS('Quote Log'!$B:$B,"&lt;&gt;VOID",'Quote Log'!$B:$B,"&lt;&gt;Requoted",'Quote Log'!$H:$H,"&gt;="&amp;DATE(2021,8,29),'Quote Log'!$H:$H,"&lt;="&amp;DATE(2021,9,4))</f>
        <v>0</v>
      </c>
      <c r="F37" t="e">
        <f t="shared" si="13"/>
        <v>#N/A</v>
      </c>
      <c r="G37">
        <f>COUNTIFS('Quote Log'!$C:$C,"&gt;="&amp;DATE(2021,8,29),'Quote Log'!$C:$C,"&lt;="&amp;DATE(2021,9,4),'Quote Log'!$B:$B,"=Purchased")</f>
        <v>0</v>
      </c>
      <c r="H37" t="e">
        <f t="shared" si="14"/>
        <v>#N/A</v>
      </c>
      <c r="I37" s="339">
        <f t="shared" si="3"/>
        <v>0</v>
      </c>
      <c r="J37" s="339" t="e">
        <f t="shared" si="15"/>
        <v>#N/A</v>
      </c>
      <c r="K37">
        <f>COUNTIFS('Quote Log'!$C:$C,"&gt;="&amp;DATE(2021,8,29),'Quote Log'!$C:$C,"&lt;="&amp;DATE(2021,9,4),'Quote Log'!$B:$B,"=LOST")</f>
        <v>0</v>
      </c>
      <c r="L37">
        <f>COUNTIFS('Quote Log'!$B:$B,"&lt;&gt;VOID",'Quote Log'!$B:$B,"&lt;&gt;Requoted",'Quote Log'!$C:$C,"&gt;="&amp;DATE(2021,8,29),'Quote Log'!$C:$C,"&lt;="&amp;DATE(2021,9,4),'Quote Log'!$V:$V,"=new")</f>
        <v>0</v>
      </c>
      <c r="M37" s="349">
        <f t="shared" si="5"/>
        <v>0</v>
      </c>
      <c r="N37" s="339" t="e">
        <f t="shared" si="16"/>
        <v>#N/A</v>
      </c>
      <c r="O37" s="351">
        <f>SUMIFS('Quote Log'!$AB:$AB,'Quote Log'!$C:$C,"&gt;="&amp;DATE(2021,8,29),'Quote Log'!$C:$C,"&lt;="&amp;DATE(2021,9,4),'Quote Log'!$B:$B,"=Purchased",'Quote Log'!$AB:$AB,"&lt;&gt;#VALUE!")</f>
        <v>0</v>
      </c>
      <c r="P37" s="351" t="e">
        <f t="shared" si="17"/>
        <v>#N/A</v>
      </c>
      <c r="Q37" s="349" t="e">
        <f>NA()</f>
        <v>#N/A</v>
      </c>
      <c r="R37" s="349" t="e">
        <f t="shared" si="18"/>
        <v>#N/A</v>
      </c>
      <c r="S37" s="351">
        <f t="shared" si="21"/>
        <v>0</v>
      </c>
      <c r="T37" s="351" t="e">
        <f t="shared" si="19"/>
        <v>#N/A</v>
      </c>
      <c r="U37" s="349" t="e">
        <f>NA()</f>
        <v>#N/A</v>
      </c>
      <c r="V37" s="349" t="e">
        <f t="shared" si="20"/>
        <v>#N/A</v>
      </c>
      <c r="W37" s="339"/>
      <c r="X37" s="339"/>
    </row>
    <row r="38" spans="1:24" x14ac:dyDescent="0.25">
      <c r="A38">
        <v>2021</v>
      </c>
      <c r="B38" s="350">
        <v>37</v>
      </c>
      <c r="C38">
        <f>COUNTIFS('Quote Log'!$B:$B,"&lt;&gt;VOID",'Quote Log'!$B:$B,"&lt;&gt;Requoted",'Quote Log'!$C:$C,"&gt;="&amp;DATE(2021,9,5),'Quote Log'!$C:$C,"&lt;="&amp;DATE(2021,9,11))</f>
        <v>0</v>
      </c>
      <c r="D38" t="e">
        <f t="shared" si="12"/>
        <v>#N/A</v>
      </c>
      <c r="E38">
        <f>COUNTIFS('Quote Log'!$B:$B,"&lt;&gt;VOID",'Quote Log'!$B:$B,"&lt;&gt;Requoted",'Quote Log'!$H:$H,"&gt;="&amp;DATE(2021,9,5),'Quote Log'!$H:$H,"&lt;="&amp;DATE(2021,9,11))</f>
        <v>0</v>
      </c>
      <c r="F38" t="e">
        <f t="shared" si="13"/>
        <v>#N/A</v>
      </c>
      <c r="G38">
        <f>COUNTIFS('Quote Log'!$C:$C,"&gt;="&amp;DATE(2021,9,5),'Quote Log'!$C:$C,"&lt;="&amp;DATE(2021,9,11),'Quote Log'!$B:$B,"=Purchased")</f>
        <v>0</v>
      </c>
      <c r="H38" t="e">
        <f t="shared" si="14"/>
        <v>#N/A</v>
      </c>
      <c r="I38" s="339">
        <f t="shared" si="3"/>
        <v>0</v>
      </c>
      <c r="J38" s="339" t="e">
        <f t="shared" si="15"/>
        <v>#N/A</v>
      </c>
      <c r="K38">
        <f>COUNTIFS('Quote Log'!$C:$C,"&gt;="&amp;DATE(2021,9,5),'Quote Log'!$C:$C,"&lt;="&amp;DATE(2021,9,11),'Quote Log'!$B:$B,"=LOST")</f>
        <v>0</v>
      </c>
      <c r="L38">
        <f>COUNTIFS('Quote Log'!$B:$B,"&lt;&gt;VOID",'Quote Log'!$B:$B,"&lt;&gt;Requoted",'Quote Log'!$C:$C,"&gt;="&amp;DATE(2021,9,5),'Quote Log'!$C:$C,"&lt;="&amp;DATE(2021,9,11),'Quote Log'!$V:$V,"=new")</f>
        <v>0</v>
      </c>
      <c r="M38" s="349">
        <f t="shared" si="5"/>
        <v>0</v>
      </c>
      <c r="N38" s="339" t="e">
        <f t="shared" si="16"/>
        <v>#N/A</v>
      </c>
      <c r="O38" s="351">
        <f>SUMIFS('Quote Log'!$AB:$AB,'Quote Log'!$C:$C,"&gt;="&amp;DATE(2021,9,5),'Quote Log'!$C:$C,"&lt;="&amp;DATE(2021,9,11),'Quote Log'!$B:$B,"=Purchased",'Quote Log'!$AB:$AB,"&lt;&gt;#VALUE!")</f>
        <v>0</v>
      </c>
      <c r="P38" s="351" t="e">
        <f t="shared" si="17"/>
        <v>#N/A</v>
      </c>
      <c r="Q38" s="349" t="e">
        <f>NA()</f>
        <v>#N/A</v>
      </c>
      <c r="R38" s="349" t="e">
        <f t="shared" si="18"/>
        <v>#N/A</v>
      </c>
      <c r="S38" s="351">
        <f t="shared" si="21"/>
        <v>0</v>
      </c>
      <c r="T38" s="351" t="e">
        <f t="shared" si="19"/>
        <v>#N/A</v>
      </c>
      <c r="U38" s="349" t="e">
        <f>NA()</f>
        <v>#N/A</v>
      </c>
      <c r="V38" s="349" t="e">
        <f t="shared" si="20"/>
        <v>#N/A</v>
      </c>
      <c r="W38" s="339"/>
      <c r="X38" s="339"/>
    </row>
    <row r="39" spans="1:24" x14ac:dyDescent="0.25">
      <c r="A39">
        <v>2021</v>
      </c>
      <c r="B39" s="350">
        <v>38</v>
      </c>
      <c r="C39">
        <f>COUNTIFS('Quote Log'!$B:$B,"&lt;&gt;VOID",'Quote Log'!$B:$B,"&lt;&gt;Requoted",'Quote Log'!$C:$C,"&gt;="&amp;DATE(2021,9,12),'Quote Log'!$C:$C,"&lt;="&amp;DATE(2021,9,18))</f>
        <v>0</v>
      </c>
      <c r="D39" t="e">
        <f t="shared" si="12"/>
        <v>#N/A</v>
      </c>
      <c r="E39">
        <f>COUNTIFS('Quote Log'!$B:$B,"&lt;&gt;VOID",'Quote Log'!$B:$B,"&lt;&gt;Requoted",'Quote Log'!$H:$H,"&gt;="&amp;DATE(2021,9,12),'Quote Log'!$H:$H,"&lt;="&amp;DATE(2021,9,18))</f>
        <v>0</v>
      </c>
      <c r="F39" t="e">
        <f t="shared" si="13"/>
        <v>#N/A</v>
      </c>
      <c r="G39">
        <f>COUNTIFS('Quote Log'!$C:$C,"&gt;="&amp;DATE(2021,9,12),'Quote Log'!$C:$C,"&lt;="&amp;DATE(2021,9,18),'Quote Log'!$B:$B,"=Purchased")</f>
        <v>0</v>
      </c>
      <c r="H39" t="e">
        <f t="shared" si="14"/>
        <v>#N/A</v>
      </c>
      <c r="I39" s="339">
        <f t="shared" si="3"/>
        <v>0</v>
      </c>
      <c r="J39" s="339" t="e">
        <f t="shared" si="15"/>
        <v>#N/A</v>
      </c>
      <c r="K39">
        <f>COUNTIFS('Quote Log'!$C:$C,"&gt;="&amp;DATE(2021,9,12),'Quote Log'!$C:$C,"&lt;="&amp;DATE(2021,9,18),'Quote Log'!$B:$B,"=LOST")</f>
        <v>0</v>
      </c>
      <c r="L39">
        <f>COUNTIFS('Quote Log'!$B:$B,"&lt;&gt;VOID",'Quote Log'!$B:$B,"&lt;&gt;Requoted",'Quote Log'!$C:$C,"&gt;="&amp;DATE(2021,9,12),'Quote Log'!$C:$C,"&lt;="&amp;DATE(2021,9,18),'Quote Log'!$V:$V,"=new")</f>
        <v>0</v>
      </c>
      <c r="M39" s="349">
        <f t="shared" si="5"/>
        <v>0</v>
      </c>
      <c r="N39" s="339" t="e">
        <f t="shared" si="16"/>
        <v>#N/A</v>
      </c>
      <c r="O39" s="351">
        <f>SUMIFS('Quote Log'!$AB:$AB,'Quote Log'!$C:$C,"&gt;="&amp;DATE(2021,9,12),'Quote Log'!$C:$C,"&lt;="&amp;DATE(2021,9,18),'Quote Log'!$B:$B,"=Purchased",'Quote Log'!$AB:$AB,"&lt;&gt;#VALUE!")</f>
        <v>0</v>
      </c>
      <c r="P39" s="351" t="e">
        <f t="shared" si="17"/>
        <v>#N/A</v>
      </c>
      <c r="Q39" s="349" t="e">
        <f>NA()</f>
        <v>#N/A</v>
      </c>
      <c r="R39" s="349" t="e">
        <f t="shared" si="18"/>
        <v>#N/A</v>
      </c>
      <c r="S39" s="351">
        <f t="shared" si="21"/>
        <v>0</v>
      </c>
      <c r="T39" s="351" t="e">
        <f t="shared" si="19"/>
        <v>#N/A</v>
      </c>
      <c r="U39" s="349" t="e">
        <f>NA()</f>
        <v>#N/A</v>
      </c>
      <c r="V39" s="349" t="e">
        <f t="shared" si="20"/>
        <v>#N/A</v>
      </c>
      <c r="W39" s="339"/>
      <c r="X39" s="339"/>
    </row>
    <row r="40" spans="1:24" x14ac:dyDescent="0.25">
      <c r="A40">
        <v>2021</v>
      </c>
      <c r="B40" s="350">
        <v>39</v>
      </c>
      <c r="C40">
        <f>COUNTIFS('Quote Log'!$B:$B,"&lt;&gt;VOID",'Quote Log'!$B:$B,"&lt;&gt;Requoted",'Quote Log'!$C:$C,"&gt;="&amp;DATE(2021,9,19),'Quote Log'!$C:$C,"&lt;="&amp;DATE(2021,9,25))</f>
        <v>0</v>
      </c>
      <c r="D40" t="e">
        <f t="shared" si="12"/>
        <v>#N/A</v>
      </c>
      <c r="E40">
        <f>COUNTIFS('Quote Log'!$B:$B,"&lt;&gt;VOID",'Quote Log'!$B:$B,"&lt;&gt;Requoted",'Quote Log'!$H:$H,"&gt;="&amp;DATE(2021,9,19),'Quote Log'!$H:$H,"&lt;="&amp;DATE(2021,9,25))</f>
        <v>0</v>
      </c>
      <c r="F40" t="e">
        <f t="shared" si="13"/>
        <v>#N/A</v>
      </c>
      <c r="G40">
        <f>COUNTIFS('Quote Log'!$C:$C,"&gt;="&amp;DATE(2021,9,19),'Quote Log'!$C:$C,"&lt;="&amp;DATE(2021,9,25),'Quote Log'!$B:$B,"=Purchased")</f>
        <v>0</v>
      </c>
      <c r="H40" t="e">
        <f t="shared" si="14"/>
        <v>#N/A</v>
      </c>
      <c r="I40" s="339">
        <f t="shared" si="3"/>
        <v>0</v>
      </c>
      <c r="J40" s="339" t="e">
        <f t="shared" si="15"/>
        <v>#N/A</v>
      </c>
      <c r="K40">
        <f>COUNTIFS('Quote Log'!$C:$C,"&gt;="&amp;DATE(2021,9,19),'Quote Log'!$C:$C,"&lt;="&amp;DATE(2021,9,25),'Quote Log'!$B:$B,"=LOST")</f>
        <v>0</v>
      </c>
      <c r="L40">
        <f>COUNTIFS('Quote Log'!$B:$B,"&lt;&gt;VOID",'Quote Log'!$B:$B,"&lt;&gt;Requoted",'Quote Log'!$C:$C,"&gt;="&amp;DATE(2021,9,19),'Quote Log'!$C:$C,"&lt;="&amp;DATE(2021,9,25),'Quote Log'!$V:$V,"=new")</f>
        <v>0</v>
      </c>
      <c r="M40" s="349">
        <f t="shared" si="5"/>
        <v>0</v>
      </c>
      <c r="N40" s="339" t="e">
        <f t="shared" si="16"/>
        <v>#N/A</v>
      </c>
      <c r="O40" s="351">
        <f>SUMIFS('Quote Log'!$AB:$AB,'Quote Log'!$C:$C,"&gt;="&amp;DATE(2021,9,19),'Quote Log'!$C:$C,"&lt;="&amp;DATE(2021,9,25),'Quote Log'!$B:$B,"=Purchased",'Quote Log'!$AB:$AB,"&lt;&gt;#VALUE!")</f>
        <v>0</v>
      </c>
      <c r="P40" s="351" t="e">
        <f t="shared" si="17"/>
        <v>#N/A</v>
      </c>
      <c r="Q40" s="349" t="e">
        <f>NA()</f>
        <v>#N/A</v>
      </c>
      <c r="R40" s="349" t="e">
        <f t="shared" si="18"/>
        <v>#N/A</v>
      </c>
      <c r="S40" s="351">
        <f t="shared" si="21"/>
        <v>0</v>
      </c>
      <c r="T40" s="351" t="e">
        <f t="shared" si="19"/>
        <v>#N/A</v>
      </c>
      <c r="U40" s="349" t="e">
        <f>NA()</f>
        <v>#N/A</v>
      </c>
      <c r="V40" s="349" t="e">
        <f t="shared" si="20"/>
        <v>#N/A</v>
      </c>
      <c r="W40" s="339"/>
      <c r="X40" s="339"/>
    </row>
    <row r="41" spans="1:24" x14ac:dyDescent="0.25">
      <c r="A41">
        <v>2021</v>
      </c>
      <c r="B41" s="350">
        <v>40</v>
      </c>
      <c r="C41">
        <f>COUNTIFS('Quote Log'!$B:$B,"&lt;&gt;VOID",'Quote Log'!$B:$B,"&lt;&gt;Requoted",'Quote Log'!$C:$C,"&gt;="&amp;DATE(2021,9,26),'Quote Log'!$C:$C,"&lt;="&amp;DATE(2021,10,2))</f>
        <v>0</v>
      </c>
      <c r="D41" t="e">
        <f t="shared" si="12"/>
        <v>#N/A</v>
      </c>
      <c r="E41">
        <f>COUNTIFS('Quote Log'!$B:$B,"&lt;&gt;VOID",'Quote Log'!$B:$B,"&lt;&gt;Requoted",'Quote Log'!$H:$H,"&gt;="&amp;DATE(2021,9,26),'Quote Log'!$H:$H,"&lt;="&amp;DATE(2021,10,2))</f>
        <v>0</v>
      </c>
      <c r="F41" t="e">
        <f t="shared" si="13"/>
        <v>#N/A</v>
      </c>
      <c r="G41">
        <f>COUNTIFS('Quote Log'!$C:$C,"&gt;="&amp;DATE(2021,9,26),'Quote Log'!$C:$C,"&lt;="&amp;DATE(2021,10,2),'Quote Log'!$B:$B,"=Purchased")</f>
        <v>0</v>
      </c>
      <c r="H41" t="e">
        <f t="shared" si="14"/>
        <v>#N/A</v>
      </c>
      <c r="I41" s="339">
        <f t="shared" si="3"/>
        <v>0</v>
      </c>
      <c r="J41" s="339" t="e">
        <f t="shared" si="15"/>
        <v>#N/A</v>
      </c>
      <c r="K41">
        <f>COUNTIFS('Quote Log'!$C:$C,"&gt;="&amp;DATE(2021,9,26),'Quote Log'!$C:$C,"&lt;="&amp;DATE(2021,10,2),'Quote Log'!$B:$B,"=LOST")</f>
        <v>0</v>
      </c>
      <c r="L41">
        <f>COUNTIFS('Quote Log'!$B:$B,"&lt;&gt;VOID",'Quote Log'!$B:$B,"&lt;&gt;Requoted",'Quote Log'!$C:$C,"&gt;="&amp;DATE(2021,9,26),'Quote Log'!$C:$C,"&lt;="&amp;DATE(2021,10,2),'Quote Log'!$V:$V,"=new")</f>
        <v>0</v>
      </c>
      <c r="M41" s="349">
        <f t="shared" si="5"/>
        <v>0</v>
      </c>
      <c r="N41" s="339" t="e">
        <f t="shared" si="16"/>
        <v>#N/A</v>
      </c>
      <c r="O41" s="351">
        <f>SUMIFS('Quote Log'!$AB:$AB,'Quote Log'!$C:$C,"&gt;="&amp;DATE(2021,9,26),'Quote Log'!$C:$C,"&lt;="&amp;DATE(2021,10,2),'Quote Log'!$B:$B,"=Purchased",'Quote Log'!$AB:$AB,"&lt;&gt;#VALUE!")</f>
        <v>0</v>
      </c>
      <c r="P41" s="351" t="e">
        <f t="shared" si="17"/>
        <v>#N/A</v>
      </c>
      <c r="Q41" s="349" t="e">
        <f>NA()</f>
        <v>#N/A</v>
      </c>
      <c r="R41" s="349" t="e">
        <f t="shared" si="18"/>
        <v>#N/A</v>
      </c>
      <c r="S41" s="351">
        <f t="shared" si="21"/>
        <v>0</v>
      </c>
      <c r="T41" s="351" t="e">
        <f t="shared" si="19"/>
        <v>#N/A</v>
      </c>
      <c r="U41" s="349" t="e">
        <f>NA()</f>
        <v>#N/A</v>
      </c>
      <c r="V41" s="349" t="e">
        <f t="shared" si="20"/>
        <v>#N/A</v>
      </c>
      <c r="W41" s="339"/>
      <c r="X41" s="339"/>
    </row>
    <row r="42" spans="1:24" x14ac:dyDescent="0.25">
      <c r="A42">
        <v>2021</v>
      </c>
      <c r="B42" s="350">
        <v>41</v>
      </c>
      <c r="C42">
        <f>COUNTIFS('Quote Log'!$B:$B,"&lt;&gt;VOID",'Quote Log'!$B:$B,"&lt;&gt;Requoted",'Quote Log'!$C:$C,"&gt;="&amp;DATE(2021,10,3),'Quote Log'!$C:$C,"&lt;="&amp;DATE(2021,10,9))</f>
        <v>0</v>
      </c>
      <c r="D42" t="e">
        <f t="shared" si="12"/>
        <v>#N/A</v>
      </c>
      <c r="E42">
        <f>COUNTIFS('Quote Log'!$B:$B,"&lt;&gt;VOID",'Quote Log'!$B:$B,"&lt;&gt;Requoted",'Quote Log'!$H:$H,"&gt;="&amp;DATE(2021,10,3),'Quote Log'!$H:$H,"&lt;="&amp;DATE(2021,10,9))</f>
        <v>0</v>
      </c>
      <c r="F42" t="e">
        <f t="shared" si="13"/>
        <v>#N/A</v>
      </c>
      <c r="G42">
        <f>COUNTIFS('Quote Log'!$C:$C,"&gt;="&amp;DATE(2021,10,3),'Quote Log'!$C:$C,"&lt;="&amp;DATE(2021,10,9),'Quote Log'!$B:$B,"=Purchased")</f>
        <v>0</v>
      </c>
      <c r="H42" t="e">
        <f t="shared" si="14"/>
        <v>#N/A</v>
      </c>
      <c r="I42" s="339">
        <f t="shared" si="3"/>
        <v>0</v>
      </c>
      <c r="J42" s="339" t="e">
        <f t="shared" si="15"/>
        <v>#N/A</v>
      </c>
      <c r="K42">
        <f>COUNTIFS('Quote Log'!$C:$C,"&gt;="&amp;DATE(2021,10,3),'Quote Log'!$C:$C,"&lt;="&amp;DATE(2021,10,9),'Quote Log'!$B:$B,"=LOST")</f>
        <v>0</v>
      </c>
      <c r="L42">
        <f>COUNTIFS('Quote Log'!$B:$B,"&lt;&gt;VOID",'Quote Log'!$B:$B,"&lt;&gt;Requoted",'Quote Log'!$C:$C,"&gt;="&amp;DATE(2021,10,3),'Quote Log'!$C:$C,"&lt;="&amp;DATE(2021,10,9),'Quote Log'!$V:$V,"=new")</f>
        <v>0</v>
      </c>
      <c r="M42" s="349">
        <f t="shared" si="5"/>
        <v>0</v>
      </c>
      <c r="N42" s="339" t="e">
        <f t="shared" si="16"/>
        <v>#N/A</v>
      </c>
      <c r="O42" s="351">
        <f>SUMIFS('Quote Log'!$AB:$AB,'Quote Log'!$C:$C,"&gt;="&amp;DATE(2021,10,3),'Quote Log'!$C:$C,"&lt;="&amp;DATE(2021,10,9),'Quote Log'!$B:$B,"=Purchased",'Quote Log'!$AB:$AB,"&lt;&gt;#VALUE!")</f>
        <v>0</v>
      </c>
      <c r="P42" s="351" t="e">
        <f t="shared" si="17"/>
        <v>#N/A</v>
      </c>
      <c r="Q42" s="349" t="e">
        <f>NA()</f>
        <v>#N/A</v>
      </c>
      <c r="R42" s="349" t="e">
        <f t="shared" si="18"/>
        <v>#N/A</v>
      </c>
      <c r="S42" s="351">
        <f t="shared" si="21"/>
        <v>0</v>
      </c>
      <c r="T42" s="351" t="e">
        <f t="shared" si="19"/>
        <v>#N/A</v>
      </c>
      <c r="U42" s="349" t="e">
        <f>NA()</f>
        <v>#N/A</v>
      </c>
      <c r="V42" s="349" t="e">
        <f t="shared" si="20"/>
        <v>#N/A</v>
      </c>
      <c r="W42" s="339"/>
      <c r="X42" s="339"/>
    </row>
    <row r="43" spans="1:24" x14ac:dyDescent="0.25">
      <c r="A43">
        <v>2021</v>
      </c>
      <c r="B43" s="350">
        <v>42</v>
      </c>
      <c r="C43">
        <f>COUNTIFS('Quote Log'!$B:$B,"&lt;&gt;VOID",'Quote Log'!$B:$B,"&lt;&gt;Requoted",'Quote Log'!$C:$C,"&gt;="&amp;DATE(2021,10,10),'Quote Log'!$C:$C,"&lt;="&amp;DATE(2021,10,16))</f>
        <v>0</v>
      </c>
      <c r="D43" t="e">
        <f t="shared" si="12"/>
        <v>#N/A</v>
      </c>
      <c r="E43">
        <f>COUNTIFS('Quote Log'!$B:$B,"&lt;&gt;VOID",'Quote Log'!$B:$B,"&lt;&gt;Requoted",'Quote Log'!$H:$H,"&gt;="&amp;DATE(2021,10,10),'Quote Log'!$H:$H,"&lt;="&amp;DATE(2021,10,16))</f>
        <v>0</v>
      </c>
      <c r="F43" t="e">
        <f t="shared" si="13"/>
        <v>#N/A</v>
      </c>
      <c r="G43">
        <f>COUNTIFS('Quote Log'!$C:$C,"&gt;="&amp;DATE(2021,10,10),'Quote Log'!$C:$C,"&lt;="&amp;DATE(2021,10,16),'Quote Log'!$B:$B,"=Purchased")</f>
        <v>0</v>
      </c>
      <c r="H43" t="e">
        <f t="shared" si="14"/>
        <v>#N/A</v>
      </c>
      <c r="I43" s="339">
        <f t="shared" si="3"/>
        <v>0</v>
      </c>
      <c r="J43" s="339" t="e">
        <f t="shared" si="15"/>
        <v>#N/A</v>
      </c>
      <c r="K43">
        <f>COUNTIFS('Quote Log'!$C:$C,"&gt;="&amp;DATE(2021,10,10),'Quote Log'!$C:$C,"&lt;="&amp;DATE(2021,10,16),'Quote Log'!$B:$B,"=LOST")</f>
        <v>0</v>
      </c>
      <c r="L43">
        <f>COUNTIFS('Quote Log'!$B:$B,"&lt;&gt;VOID",'Quote Log'!$B:$B,"&lt;&gt;Requoted",'Quote Log'!$C:$C,"&gt;="&amp;DATE(2021,10,10),'Quote Log'!$C:$C,"&lt;="&amp;DATE(2021,10,16),'Quote Log'!$V:$V,"=new")</f>
        <v>0</v>
      </c>
      <c r="M43" s="349">
        <f t="shared" si="5"/>
        <v>0</v>
      </c>
      <c r="N43" s="339" t="e">
        <f t="shared" si="16"/>
        <v>#N/A</v>
      </c>
      <c r="O43" s="351">
        <f>SUMIFS('Quote Log'!$AB:$AB,'Quote Log'!$C:$C,"&gt;="&amp;DATE(2021,10,10),'Quote Log'!$C:$C,"&lt;="&amp;DATE(2021,10,16),'Quote Log'!$B:$B,"=Purchased",'Quote Log'!$AB:$AB,"&lt;&gt;#VALUE!")</f>
        <v>0</v>
      </c>
      <c r="P43" s="351" t="e">
        <f t="shared" si="17"/>
        <v>#N/A</v>
      </c>
      <c r="Q43" s="349" t="e">
        <f>NA()</f>
        <v>#N/A</v>
      </c>
      <c r="R43" s="349" t="e">
        <f t="shared" si="18"/>
        <v>#N/A</v>
      </c>
      <c r="S43" s="351">
        <f t="shared" si="21"/>
        <v>0</v>
      </c>
      <c r="T43" s="351" t="e">
        <f t="shared" si="19"/>
        <v>#N/A</v>
      </c>
      <c r="U43" s="349" t="e">
        <f>NA()</f>
        <v>#N/A</v>
      </c>
      <c r="V43" s="349" t="e">
        <f t="shared" si="20"/>
        <v>#N/A</v>
      </c>
      <c r="W43" s="339"/>
      <c r="X43" s="339"/>
    </row>
    <row r="44" spans="1:24" x14ac:dyDescent="0.25">
      <c r="A44">
        <v>2021</v>
      </c>
      <c r="B44" s="350">
        <v>43</v>
      </c>
      <c r="C44">
        <f>COUNTIFS('Quote Log'!$B:$B,"&lt;&gt;VOID",'Quote Log'!$B:$B,"&lt;&gt;Requoted",'Quote Log'!$C:$C,"&gt;="&amp;DATE(2021,10,17),'Quote Log'!$C:$C,"&lt;="&amp;DATE(2021,10,23))</f>
        <v>0</v>
      </c>
      <c r="D44" t="e">
        <f t="shared" si="12"/>
        <v>#N/A</v>
      </c>
      <c r="E44">
        <f>COUNTIFS('Quote Log'!$B:$B,"&lt;&gt;VOID",'Quote Log'!$B:$B,"&lt;&gt;Requoted",'Quote Log'!$H:$H,"&gt;="&amp;DATE(2021,10,17),'Quote Log'!$H:$H,"&lt;="&amp;DATE(2021,10,23))</f>
        <v>0</v>
      </c>
      <c r="F44" t="e">
        <f t="shared" si="13"/>
        <v>#N/A</v>
      </c>
      <c r="G44">
        <f>COUNTIFS('Quote Log'!$C:$C,"&gt;="&amp;DATE(2021,10,17),'Quote Log'!$C:$C,"&lt;="&amp;DATE(2021,10,23),'Quote Log'!$B:$B,"=Purchased")</f>
        <v>0</v>
      </c>
      <c r="H44" t="e">
        <f t="shared" si="14"/>
        <v>#N/A</v>
      </c>
      <c r="I44" s="339">
        <f t="shared" si="3"/>
        <v>0</v>
      </c>
      <c r="J44" s="339" t="e">
        <f t="shared" si="15"/>
        <v>#N/A</v>
      </c>
      <c r="K44">
        <f>COUNTIFS('Quote Log'!$C:$C,"&gt;="&amp;DATE(2021,10,17),'Quote Log'!$C:$C,"&lt;="&amp;DATE(2021,10,23),'Quote Log'!$B:$B,"=LOST")</f>
        <v>0</v>
      </c>
      <c r="L44">
        <f>COUNTIFS('Quote Log'!$B:$B,"&lt;&gt;VOID",'Quote Log'!$B:$B,"&lt;&gt;Requoted",'Quote Log'!$C:$C,"&gt;="&amp;DATE(2021,10,17),'Quote Log'!$C:$C,"&lt;="&amp;DATE(2021,10,23),'Quote Log'!$V:$V,"=new")</f>
        <v>0</v>
      </c>
      <c r="M44" s="349">
        <f t="shared" si="5"/>
        <v>0</v>
      </c>
      <c r="N44" s="339" t="e">
        <f t="shared" si="16"/>
        <v>#N/A</v>
      </c>
      <c r="O44" s="351">
        <f>SUMIFS('Quote Log'!$AB:$AB,'Quote Log'!$C:$C,"&gt;="&amp;DATE(2021,10,17),'Quote Log'!$C:$C,"&lt;="&amp;DATE(2021,10,23),'Quote Log'!$B:$B,"=Purchased",'Quote Log'!$AB:$AB,"&lt;&gt;#VALUE!")</f>
        <v>0</v>
      </c>
      <c r="P44" s="351" t="e">
        <f t="shared" si="17"/>
        <v>#N/A</v>
      </c>
      <c r="Q44" s="349" t="e">
        <f>NA()</f>
        <v>#N/A</v>
      </c>
      <c r="R44" s="349" t="e">
        <f t="shared" si="18"/>
        <v>#N/A</v>
      </c>
      <c r="S44" s="351">
        <f t="shared" si="21"/>
        <v>0</v>
      </c>
      <c r="T44" s="351" t="e">
        <f t="shared" si="19"/>
        <v>#N/A</v>
      </c>
      <c r="U44" s="349" t="e">
        <f>NA()</f>
        <v>#N/A</v>
      </c>
      <c r="V44" s="349" t="e">
        <f t="shared" si="20"/>
        <v>#N/A</v>
      </c>
      <c r="W44" s="339"/>
      <c r="X44" s="339"/>
    </row>
    <row r="45" spans="1:24" x14ac:dyDescent="0.25">
      <c r="A45">
        <v>2021</v>
      </c>
      <c r="B45" s="350">
        <v>44</v>
      </c>
      <c r="C45">
        <f>COUNTIFS('Quote Log'!$B:$B,"&lt;&gt;VOID",'Quote Log'!$B:$B,"&lt;&gt;Requoted",'Quote Log'!$C:$C,"&gt;="&amp;DATE(2021,10,24),'Quote Log'!$C:$C,"&lt;="&amp;DATE(2021,10,30))</f>
        <v>0</v>
      </c>
      <c r="D45" t="e">
        <f t="shared" si="12"/>
        <v>#N/A</v>
      </c>
      <c r="E45">
        <f>COUNTIFS('Quote Log'!$B:$B,"&lt;&gt;VOID",'Quote Log'!$B:$B,"&lt;&gt;Requoted",'Quote Log'!$H:$H,"&gt;="&amp;DATE(2021,10,24),'Quote Log'!$H:$H,"&lt;="&amp;DATE(2021,10,30))</f>
        <v>0</v>
      </c>
      <c r="F45" t="e">
        <f t="shared" si="13"/>
        <v>#N/A</v>
      </c>
      <c r="G45">
        <f>COUNTIFS('Quote Log'!$C:$C,"&gt;="&amp;DATE(2021,10,24),'Quote Log'!$C:$C,"&lt;="&amp;DATE(2021,10,30),'Quote Log'!$B:$B,"=Purchased")</f>
        <v>0</v>
      </c>
      <c r="H45" t="e">
        <f t="shared" si="14"/>
        <v>#N/A</v>
      </c>
      <c r="I45" s="339">
        <f t="shared" si="3"/>
        <v>0</v>
      </c>
      <c r="J45" s="339" t="e">
        <f t="shared" si="15"/>
        <v>#N/A</v>
      </c>
      <c r="K45">
        <f>COUNTIFS('Quote Log'!$C:$C,"&gt;="&amp;DATE(2021,10,24),'Quote Log'!$C:$C,"&lt;="&amp;DATE(2021,10,30),'Quote Log'!$B:$B,"=LOST")</f>
        <v>0</v>
      </c>
      <c r="L45">
        <f>COUNTIFS('Quote Log'!$B:$B,"&lt;&gt;VOID",'Quote Log'!$B:$B,"&lt;&gt;Requoted",'Quote Log'!$C:$C,"&gt;="&amp;DATE(2021,10,24),'Quote Log'!$C:$C,"&lt;="&amp;DATE(2021,10,30),'Quote Log'!$V:$V,"=new")</f>
        <v>0</v>
      </c>
      <c r="M45" s="349">
        <f t="shared" si="5"/>
        <v>0</v>
      </c>
      <c r="N45" s="339" t="e">
        <f t="shared" si="16"/>
        <v>#N/A</v>
      </c>
      <c r="O45" s="351">
        <f>SUMIFS('Quote Log'!$AB:$AB,'Quote Log'!$C:$C,"&gt;="&amp;DATE(2021,10,24),'Quote Log'!$C:$C,"&lt;="&amp;DATE(2021,10,30),'Quote Log'!$B:$B,"=Purchased",'Quote Log'!$AB:$AB,"&lt;&gt;#VALUE!")</f>
        <v>0</v>
      </c>
      <c r="P45" s="351" t="e">
        <f t="shared" si="17"/>
        <v>#N/A</v>
      </c>
      <c r="Q45" s="349" t="e">
        <f>NA()</f>
        <v>#N/A</v>
      </c>
      <c r="R45" s="349" t="e">
        <f t="shared" si="18"/>
        <v>#N/A</v>
      </c>
      <c r="S45" s="351">
        <f t="shared" si="21"/>
        <v>0</v>
      </c>
      <c r="T45" s="351" t="e">
        <f t="shared" si="19"/>
        <v>#N/A</v>
      </c>
      <c r="U45" s="349" t="e">
        <f>NA()</f>
        <v>#N/A</v>
      </c>
      <c r="V45" s="349" t="e">
        <f t="shared" si="20"/>
        <v>#N/A</v>
      </c>
      <c r="W45" s="339"/>
      <c r="X45" s="339"/>
    </row>
    <row r="46" spans="1:24" x14ac:dyDescent="0.25">
      <c r="A46">
        <v>2021</v>
      </c>
      <c r="B46" s="350">
        <v>45</v>
      </c>
      <c r="C46">
        <f>COUNTIFS('Quote Log'!$B:$B,"&lt;&gt;VOID",'Quote Log'!$B:$B,"&lt;&gt;Requoted",'Quote Log'!$C:$C,"&gt;="&amp;DATE(2021,10,31),'Quote Log'!$C:$C,"&lt;="&amp;DATE(2021,11,6))</f>
        <v>0</v>
      </c>
      <c r="D46" t="e">
        <f t="shared" si="12"/>
        <v>#N/A</v>
      </c>
      <c r="E46">
        <f>COUNTIFS('Quote Log'!$B:$B,"&lt;&gt;VOID",'Quote Log'!$B:$B,"&lt;&gt;Requoted",'Quote Log'!$H:$H,"&gt;="&amp;DATE(2021,10,31),'Quote Log'!$H:$H,"&lt;="&amp;DATE(2021,11,6))</f>
        <v>0</v>
      </c>
      <c r="F46" t="e">
        <f t="shared" si="13"/>
        <v>#N/A</v>
      </c>
      <c r="G46">
        <f>COUNTIFS('Quote Log'!$C:$C,"&gt;="&amp;DATE(2021,10,31),'Quote Log'!$C:$C,"&lt;="&amp;DATE(2021,11,6),'Quote Log'!$B:$B,"=Purchased")</f>
        <v>0</v>
      </c>
      <c r="H46" t="e">
        <f t="shared" si="14"/>
        <v>#N/A</v>
      </c>
      <c r="I46" s="339">
        <f t="shared" si="3"/>
        <v>0</v>
      </c>
      <c r="J46" s="339" t="e">
        <f t="shared" si="15"/>
        <v>#N/A</v>
      </c>
      <c r="K46">
        <f>COUNTIFS('Quote Log'!$C:$C,"&gt;="&amp;DATE(2021,10,31),'Quote Log'!$C:$C,"&lt;="&amp;DATE(2021,11,6),'Quote Log'!$B:$B,"=LOST")</f>
        <v>0</v>
      </c>
      <c r="L46">
        <f>COUNTIFS('Quote Log'!$B:$B,"&lt;&gt;VOID",'Quote Log'!$B:$B,"&lt;&gt;Requoted",'Quote Log'!$C:$C,"&gt;="&amp;DATE(2021,10,31),'Quote Log'!$C:$C,"&lt;="&amp;DATE(2021,11,6),'Quote Log'!$V:$V,"=new")</f>
        <v>0</v>
      </c>
      <c r="M46" s="349">
        <f t="shared" si="5"/>
        <v>0</v>
      </c>
      <c r="N46" s="339" t="e">
        <f t="shared" si="16"/>
        <v>#N/A</v>
      </c>
      <c r="O46" s="351">
        <f>SUMIFS('Quote Log'!$AB:$AB,'Quote Log'!$C:$C,"&gt;="&amp;DATE(2021,10,31),'Quote Log'!$C:$C,"&lt;="&amp;DATE(2021,11,6),'Quote Log'!$B:$B,"=Purchased",'Quote Log'!$AB:$AB,"&lt;&gt;#VALUE!")</f>
        <v>0</v>
      </c>
      <c r="P46" s="351" t="e">
        <f t="shared" si="17"/>
        <v>#N/A</v>
      </c>
      <c r="Q46" s="349" t="e">
        <f>NA()</f>
        <v>#N/A</v>
      </c>
      <c r="R46" s="349" t="e">
        <f t="shared" si="18"/>
        <v>#N/A</v>
      </c>
      <c r="S46" s="351">
        <f t="shared" si="21"/>
        <v>0</v>
      </c>
      <c r="T46" s="351" t="e">
        <f t="shared" si="19"/>
        <v>#N/A</v>
      </c>
      <c r="U46" s="349" t="e">
        <f>NA()</f>
        <v>#N/A</v>
      </c>
      <c r="V46" s="349" t="e">
        <f t="shared" si="20"/>
        <v>#N/A</v>
      </c>
      <c r="W46" s="339"/>
      <c r="X46" s="339"/>
    </row>
    <row r="47" spans="1:24" x14ac:dyDescent="0.25">
      <c r="A47">
        <v>2021</v>
      </c>
      <c r="B47" s="350">
        <v>46</v>
      </c>
      <c r="C47">
        <f>COUNTIFS('Quote Log'!$B:$B,"&lt;&gt;VOID",'Quote Log'!$B:$B,"&lt;&gt;Requoted",'Quote Log'!$C:$C,"&gt;="&amp;DATE(2021,11,7),'Quote Log'!$C:$C,"&lt;="&amp;DATE(2021,11,13))</f>
        <v>0</v>
      </c>
      <c r="D47" t="e">
        <f t="shared" si="12"/>
        <v>#N/A</v>
      </c>
      <c r="E47">
        <f>COUNTIFS('Quote Log'!$B:$B,"&lt;&gt;VOID",'Quote Log'!$B:$B,"&lt;&gt;Requoted",'Quote Log'!$H:$H,"&gt;="&amp;DATE(2021,11,7),'Quote Log'!$H:$H,"&lt;="&amp;DATE(2021,11,13))</f>
        <v>0</v>
      </c>
      <c r="F47" t="e">
        <f t="shared" si="13"/>
        <v>#N/A</v>
      </c>
      <c r="G47">
        <f>COUNTIFS('Quote Log'!$C:$C,"&gt;="&amp;DATE(2021,11,7),'Quote Log'!$C:$C,"&lt;="&amp;DATE(2021,11,13),'Quote Log'!$B:$B,"=Purchased")</f>
        <v>0</v>
      </c>
      <c r="H47" t="e">
        <f t="shared" si="14"/>
        <v>#N/A</v>
      </c>
      <c r="I47" s="339">
        <f t="shared" si="3"/>
        <v>0</v>
      </c>
      <c r="J47" s="339" t="e">
        <f t="shared" si="15"/>
        <v>#N/A</v>
      </c>
      <c r="K47">
        <f>COUNTIFS('Quote Log'!$C:$C,"&gt;="&amp;DATE(2021,11,7),'Quote Log'!$C:$C,"&lt;="&amp;DATE(2021,11,13),'Quote Log'!$B:$B,"=LOST")</f>
        <v>0</v>
      </c>
      <c r="L47">
        <f>COUNTIFS('Quote Log'!$B:$B,"&lt;&gt;VOID",'Quote Log'!$B:$B,"&lt;&gt;Requoted",'Quote Log'!$C:$C,"&gt;="&amp;DATE(2021,11,7),'Quote Log'!$C:$C,"&lt;="&amp;DATE(2021,11,13),'Quote Log'!$V:$V,"=new")</f>
        <v>0</v>
      </c>
      <c r="M47" s="349">
        <f t="shared" si="5"/>
        <v>0</v>
      </c>
      <c r="N47" s="339" t="e">
        <f t="shared" si="16"/>
        <v>#N/A</v>
      </c>
      <c r="O47" s="351">
        <f>SUMIFS('Quote Log'!$AB:$AB,'Quote Log'!$C:$C,"&gt;="&amp;DATE(2021,11,7),'Quote Log'!$C:$C,"&lt;="&amp;DATE(2021,11,13),'Quote Log'!$B:$B,"=Purchased",'Quote Log'!$AB:$AB,"&lt;&gt;#VALUE!")</f>
        <v>0</v>
      </c>
      <c r="P47" s="351" t="e">
        <f t="shared" si="17"/>
        <v>#N/A</v>
      </c>
      <c r="Q47" s="349" t="e">
        <f>NA()</f>
        <v>#N/A</v>
      </c>
      <c r="R47" s="349" t="e">
        <f t="shared" si="18"/>
        <v>#N/A</v>
      </c>
      <c r="S47" s="351">
        <f t="shared" si="21"/>
        <v>0</v>
      </c>
      <c r="T47" s="351" t="e">
        <f t="shared" si="19"/>
        <v>#N/A</v>
      </c>
      <c r="U47" s="349" t="e">
        <f>NA()</f>
        <v>#N/A</v>
      </c>
      <c r="V47" s="349" t="e">
        <f t="shared" si="20"/>
        <v>#N/A</v>
      </c>
      <c r="W47" s="339"/>
      <c r="X47" s="339"/>
    </row>
    <row r="48" spans="1:24" x14ac:dyDescent="0.25">
      <c r="A48">
        <v>2021</v>
      </c>
      <c r="B48" s="350">
        <v>47</v>
      </c>
      <c r="C48">
        <f>COUNTIFS('Quote Log'!$B:$B,"&lt;&gt;VOID",'Quote Log'!$B:$B,"&lt;&gt;Requoted",'Quote Log'!$C:$C,"&gt;="&amp;DATE(2021,11,14),'Quote Log'!$C:$C,"&lt;="&amp;DATE(2021,11,20))</f>
        <v>0</v>
      </c>
      <c r="D48" t="e">
        <f t="shared" si="12"/>
        <v>#N/A</v>
      </c>
      <c r="E48">
        <f>COUNTIFS('Quote Log'!$B:$B,"&lt;&gt;VOID",'Quote Log'!$B:$B,"&lt;&gt;Requoted",'Quote Log'!$H:$H,"&gt;="&amp;DATE(2021,11,14),'Quote Log'!$H:$H,"&lt;="&amp;DATE(2021,11,20))</f>
        <v>0</v>
      </c>
      <c r="F48" t="e">
        <f t="shared" si="13"/>
        <v>#N/A</v>
      </c>
      <c r="G48">
        <f>COUNTIFS('Quote Log'!$C:$C,"&gt;="&amp;DATE(2021,11,14),'Quote Log'!$C:$C,"&lt;="&amp;DATE(2021,11,20),'Quote Log'!$B:$B,"=Purchased")</f>
        <v>0</v>
      </c>
      <c r="H48" t="e">
        <f t="shared" si="14"/>
        <v>#N/A</v>
      </c>
      <c r="I48" s="339">
        <f t="shared" si="3"/>
        <v>0</v>
      </c>
      <c r="J48" s="339" t="e">
        <f t="shared" si="15"/>
        <v>#N/A</v>
      </c>
      <c r="K48">
        <f>COUNTIFS('Quote Log'!$C:$C,"&gt;="&amp;DATE(2021,11,14),'Quote Log'!$C:$C,"&lt;="&amp;DATE(2021,11,20),'Quote Log'!$B:$B,"=LOST")</f>
        <v>0</v>
      </c>
      <c r="L48">
        <f>COUNTIFS('Quote Log'!$B:$B,"&lt;&gt;VOID",'Quote Log'!$B:$B,"&lt;&gt;Requoted",'Quote Log'!$C:$C,"&gt;="&amp;DATE(2021,11,14),'Quote Log'!$C:$C,"&lt;="&amp;DATE(2021,11,20),'Quote Log'!$V:$V,"=new")</f>
        <v>0</v>
      </c>
      <c r="M48" s="349">
        <f t="shared" si="5"/>
        <v>0</v>
      </c>
      <c r="N48" s="339" t="e">
        <f t="shared" si="16"/>
        <v>#N/A</v>
      </c>
      <c r="O48" s="351">
        <f>SUMIFS('Quote Log'!$AB:$AB,'Quote Log'!$C:$C,"&gt;="&amp;DATE(2021,11,14),'Quote Log'!$C:$C,"&lt;="&amp;DATE(2021,11,20),'Quote Log'!$B:$B,"=Purchased",'Quote Log'!$AB:$AB,"&lt;&gt;#VALUE!")</f>
        <v>0</v>
      </c>
      <c r="P48" s="351" t="e">
        <f t="shared" si="17"/>
        <v>#N/A</v>
      </c>
      <c r="Q48" s="349" t="e">
        <f>NA()</f>
        <v>#N/A</v>
      </c>
      <c r="R48" s="349" t="e">
        <f t="shared" si="18"/>
        <v>#N/A</v>
      </c>
      <c r="S48" s="351">
        <f t="shared" si="21"/>
        <v>0</v>
      </c>
      <c r="T48" s="351" t="e">
        <f t="shared" si="19"/>
        <v>#N/A</v>
      </c>
      <c r="U48" s="349" t="e">
        <f>NA()</f>
        <v>#N/A</v>
      </c>
      <c r="V48" s="349" t="e">
        <f t="shared" si="20"/>
        <v>#N/A</v>
      </c>
      <c r="W48" s="339"/>
      <c r="X48" s="339"/>
    </row>
    <row r="49" spans="1:24" x14ac:dyDescent="0.25">
      <c r="A49">
        <v>2021</v>
      </c>
      <c r="B49" s="350">
        <v>48</v>
      </c>
      <c r="C49">
        <f>COUNTIFS('Quote Log'!$B:$B,"&lt;&gt;VOID",'Quote Log'!$B:$B,"&lt;&gt;Requoted",'Quote Log'!$C:$C,"&gt;="&amp;DATE(2021,11,21),'Quote Log'!$C:$C,"&lt;="&amp;DATE(2021,11,27))</f>
        <v>0</v>
      </c>
      <c r="D49" t="e">
        <f t="shared" si="12"/>
        <v>#N/A</v>
      </c>
      <c r="E49">
        <f>COUNTIFS('Quote Log'!$B:$B,"&lt;&gt;VOID",'Quote Log'!$B:$B,"&lt;&gt;Requoted",'Quote Log'!$H:$H,"&gt;="&amp;DATE(2021,11,21),'Quote Log'!$H:$H,"&lt;="&amp;DATE(2021,11,27))</f>
        <v>0</v>
      </c>
      <c r="F49" t="e">
        <f t="shared" si="13"/>
        <v>#N/A</v>
      </c>
      <c r="G49">
        <f>COUNTIFS('Quote Log'!$C:$C,"&gt;="&amp;DATE(2021,11,21),'Quote Log'!$C:$C,"&lt;="&amp;DATE(2021,11,27),'Quote Log'!$B:$B,"=Purchased")</f>
        <v>0</v>
      </c>
      <c r="H49" t="e">
        <f t="shared" si="14"/>
        <v>#N/A</v>
      </c>
      <c r="I49" s="339">
        <f t="shared" si="3"/>
        <v>0</v>
      </c>
      <c r="J49" s="339" t="e">
        <f t="shared" si="15"/>
        <v>#N/A</v>
      </c>
      <c r="K49">
        <f>COUNTIFS('Quote Log'!$C:$C,"&gt;="&amp;DATE(2021,11,21),'Quote Log'!$C:$C,"&lt;="&amp;DATE(2021,11,27),'Quote Log'!$B:$B,"=LOST")</f>
        <v>0</v>
      </c>
      <c r="L49">
        <f>COUNTIFS('Quote Log'!$B:$B,"&lt;&gt;VOID",'Quote Log'!$B:$B,"&lt;&gt;Requoted",'Quote Log'!$C:$C,"&gt;="&amp;DATE(2021,11,21),'Quote Log'!$C:$C,"&lt;="&amp;DATE(2021,11,27),'Quote Log'!$V:$V,"=new")</f>
        <v>0</v>
      </c>
      <c r="M49" s="349">
        <f t="shared" si="5"/>
        <v>0</v>
      </c>
      <c r="N49" s="339" t="e">
        <f t="shared" si="16"/>
        <v>#N/A</v>
      </c>
      <c r="O49" s="351">
        <f>SUMIFS('Quote Log'!$AB:$AB,'Quote Log'!$C:$C,"&gt;="&amp;DATE(2021,11,21),'Quote Log'!$C:$C,"&lt;="&amp;DATE(2021,11,27),'Quote Log'!$B:$B,"=Purchased",'Quote Log'!$AB:$AB,"&lt;&gt;#VALUE!")</f>
        <v>0</v>
      </c>
      <c r="P49" s="351" t="e">
        <f t="shared" si="17"/>
        <v>#N/A</v>
      </c>
      <c r="Q49" s="349" t="e">
        <f>NA()</f>
        <v>#N/A</v>
      </c>
      <c r="R49" s="349" t="e">
        <f t="shared" si="18"/>
        <v>#N/A</v>
      </c>
      <c r="S49" s="351">
        <f t="shared" si="21"/>
        <v>0</v>
      </c>
      <c r="T49" s="351" t="e">
        <f t="shared" si="19"/>
        <v>#N/A</v>
      </c>
      <c r="U49" s="349" t="e">
        <f>NA()</f>
        <v>#N/A</v>
      </c>
      <c r="V49" s="349" t="e">
        <f t="shared" si="20"/>
        <v>#N/A</v>
      </c>
      <c r="W49" s="339"/>
      <c r="X49" s="339"/>
    </row>
    <row r="50" spans="1:24" x14ac:dyDescent="0.25">
      <c r="A50">
        <v>2021</v>
      </c>
      <c r="B50" s="350">
        <v>49</v>
      </c>
      <c r="C50">
        <f>COUNTIFS('Quote Log'!$B:$B,"&lt;&gt;VOID",'Quote Log'!$B:$B,"&lt;&gt;Requoted",'Quote Log'!$C:$C,"&gt;="&amp;DATE(2021,11,28),'Quote Log'!$C:$C,"&lt;="&amp;DATE(2021,12,4))</f>
        <v>0</v>
      </c>
      <c r="D50" t="e">
        <f t="shared" si="12"/>
        <v>#N/A</v>
      </c>
      <c r="E50">
        <f>COUNTIFS('Quote Log'!$B:$B,"&lt;&gt;VOID",'Quote Log'!$B:$B,"&lt;&gt;Requoted",'Quote Log'!$H:$H,"&gt;="&amp;DATE(2021,11,28),'Quote Log'!$H:$H,"&lt;="&amp;DATE(2021,12,4))</f>
        <v>0</v>
      </c>
      <c r="F50" t="e">
        <f t="shared" si="13"/>
        <v>#N/A</v>
      </c>
      <c r="G50">
        <f>COUNTIFS('Quote Log'!$C:$C,"&gt;="&amp;DATE(2021,11,28),'Quote Log'!$C:$C,"&lt;="&amp;DATE(2021,12,4),'Quote Log'!$B:$B,"=Purchased")</f>
        <v>0</v>
      </c>
      <c r="H50" t="e">
        <f t="shared" si="14"/>
        <v>#N/A</v>
      </c>
      <c r="I50" s="339">
        <f t="shared" si="3"/>
        <v>0</v>
      </c>
      <c r="J50" s="339" t="e">
        <f t="shared" si="15"/>
        <v>#N/A</v>
      </c>
      <c r="K50">
        <f>COUNTIFS('Quote Log'!$C:$C,"&gt;="&amp;DATE(2021,11,28),'Quote Log'!$C:$C,"&lt;="&amp;DATE(2021,12,4),'Quote Log'!$B:$B,"=LOST")</f>
        <v>0</v>
      </c>
      <c r="L50">
        <f>COUNTIFS('Quote Log'!$B:$B,"&lt;&gt;VOID",'Quote Log'!$B:$B,"&lt;&gt;Requoted",'Quote Log'!$C:$C,"&gt;="&amp;DATE(2021,11,28),'Quote Log'!$C:$C,"&lt;="&amp;DATE(2021,12,4),'Quote Log'!$V:$V,"=new")</f>
        <v>0</v>
      </c>
      <c r="M50" s="349">
        <f t="shared" si="5"/>
        <v>0</v>
      </c>
      <c r="N50" s="339" t="e">
        <f t="shared" si="16"/>
        <v>#N/A</v>
      </c>
      <c r="O50" s="351">
        <f>SUMIFS('Quote Log'!$AB:$AB,'Quote Log'!$C:$C,"&gt;="&amp;DATE(2021,11,28),'Quote Log'!$C:$C,"&lt;="&amp;DATE(2021,12,4),'Quote Log'!$B:$B,"=Purchased",'Quote Log'!$AB:$AB,"&lt;&gt;#VALUE!")</f>
        <v>0</v>
      </c>
      <c r="P50" s="351" t="e">
        <f t="shared" si="17"/>
        <v>#N/A</v>
      </c>
      <c r="Q50" s="349" t="e">
        <f>NA()</f>
        <v>#N/A</v>
      </c>
      <c r="R50" s="349" t="e">
        <f t="shared" si="18"/>
        <v>#N/A</v>
      </c>
      <c r="S50" s="351">
        <f t="shared" si="21"/>
        <v>0</v>
      </c>
      <c r="T50" s="351" t="e">
        <f t="shared" si="19"/>
        <v>#N/A</v>
      </c>
      <c r="U50" s="349" t="e">
        <f>NA()</f>
        <v>#N/A</v>
      </c>
      <c r="V50" s="349" t="e">
        <f t="shared" si="20"/>
        <v>#N/A</v>
      </c>
    </row>
    <row r="51" spans="1:24" x14ac:dyDescent="0.25">
      <c r="A51">
        <v>2021</v>
      </c>
      <c r="B51" s="350">
        <v>50</v>
      </c>
      <c r="C51">
        <f>COUNTIFS('Quote Log'!$B:$B,"&lt;&gt;VOID",'Quote Log'!$B:$B,"&lt;&gt;Requoted",'Quote Log'!$C:$C,"&gt;="&amp;DATE(2021,12,5),'Quote Log'!$C:$C,"&lt;="&amp;DATE(2021,12,11))</f>
        <v>0</v>
      </c>
      <c r="D51" t="e">
        <f t="shared" si="12"/>
        <v>#N/A</v>
      </c>
      <c r="E51">
        <f>COUNTIFS('Quote Log'!$B:$B,"&lt;&gt;VOID",'Quote Log'!$B:$B,"&lt;&gt;Requoted",'Quote Log'!$H:$H,"&gt;="&amp;DATE(2021,12,5),'Quote Log'!$H:$H,"&lt;="&amp;DATE(2021,12,11))</f>
        <v>0</v>
      </c>
      <c r="F51" t="e">
        <f t="shared" si="13"/>
        <v>#N/A</v>
      </c>
      <c r="G51">
        <f>COUNTIFS('Quote Log'!$C:$C,"&gt;="&amp;DATE(2021,12,5),'Quote Log'!$C:$C,"&lt;="&amp;DATE(2021,12,11),'Quote Log'!$B:$B,"=Purchased")</f>
        <v>0</v>
      </c>
      <c r="H51" t="e">
        <f t="shared" si="14"/>
        <v>#N/A</v>
      </c>
      <c r="I51" s="339">
        <f t="shared" si="3"/>
        <v>0</v>
      </c>
      <c r="J51" s="339" t="e">
        <f t="shared" si="15"/>
        <v>#N/A</v>
      </c>
      <c r="K51">
        <f>COUNTIFS('Quote Log'!$C:$C,"&gt;="&amp;DATE(2021,12,5),'Quote Log'!$C:$C,"&lt;="&amp;DATE(2021,12,11),'Quote Log'!$B:$B,"=LOST")</f>
        <v>0</v>
      </c>
      <c r="L51">
        <f>COUNTIFS('Quote Log'!$B:$B,"&lt;&gt;VOID",'Quote Log'!$B:$B,"&lt;&gt;Requoted",'Quote Log'!$C:$C,"&gt;="&amp;DATE(2021,12,5),'Quote Log'!$C:$C,"&lt;="&amp;DATE(2021,12,11),'Quote Log'!$V:$V,"=new")</f>
        <v>0</v>
      </c>
      <c r="M51" s="349">
        <f t="shared" si="5"/>
        <v>0</v>
      </c>
      <c r="N51" s="339" t="e">
        <f t="shared" si="16"/>
        <v>#N/A</v>
      </c>
      <c r="O51" s="351">
        <f>SUMIFS('Quote Log'!$AB:$AB,'Quote Log'!$C:$C,"&gt;="&amp;DATE(2021,12,5),'Quote Log'!$C:$C,"&lt;="&amp;DATE(2021,12,11),'Quote Log'!$B:$B,"=Purchased",'Quote Log'!$AB:$AB,"&lt;&gt;#VALUE!")</f>
        <v>0</v>
      </c>
      <c r="P51" s="351" t="e">
        <f t="shared" si="17"/>
        <v>#N/A</v>
      </c>
      <c r="Q51" s="349" t="e">
        <f>NA()</f>
        <v>#N/A</v>
      </c>
      <c r="R51" s="349" t="e">
        <f t="shared" si="18"/>
        <v>#N/A</v>
      </c>
      <c r="S51" s="351">
        <f t="shared" si="21"/>
        <v>0</v>
      </c>
      <c r="T51" s="351" t="e">
        <f t="shared" si="19"/>
        <v>#N/A</v>
      </c>
      <c r="U51" s="349" t="e">
        <f>NA()</f>
        <v>#N/A</v>
      </c>
      <c r="V51" s="349" t="e">
        <f t="shared" si="20"/>
        <v>#N/A</v>
      </c>
    </row>
    <row r="52" spans="1:24" x14ac:dyDescent="0.25">
      <c r="A52">
        <v>2021</v>
      </c>
      <c r="B52" s="350">
        <v>51</v>
      </c>
      <c r="C52">
        <f>COUNTIFS('Quote Log'!$B:$B,"&lt;&gt;VOID",'Quote Log'!$B:$B,"&lt;&gt;Requoted",'Quote Log'!$C:$C,"&gt;="&amp;DATE(2021,12,12),'Quote Log'!$C:$C,"&lt;="&amp;DATE(2021,12,18))</f>
        <v>0</v>
      </c>
      <c r="D52" t="e">
        <f t="shared" si="12"/>
        <v>#N/A</v>
      </c>
      <c r="E52">
        <f>COUNTIFS('Quote Log'!$B:$B,"&lt;&gt;VOID",'Quote Log'!$B:$B,"&lt;&gt;Requoted",'Quote Log'!$H:$H,"&gt;="&amp;DATE(2021,12,12),'Quote Log'!$H:$H,"&lt;="&amp;DATE(2021,12,18))</f>
        <v>0</v>
      </c>
      <c r="F52" t="e">
        <f t="shared" si="13"/>
        <v>#N/A</v>
      </c>
      <c r="G52">
        <f>COUNTIFS('Quote Log'!$C:$C,"&gt;="&amp;DATE(2021,12,12),'Quote Log'!$C:$C,"&lt;="&amp;DATE(2021,12,18),'Quote Log'!$B:$B,"=Purchased")</f>
        <v>0</v>
      </c>
      <c r="H52" t="e">
        <f t="shared" si="14"/>
        <v>#N/A</v>
      </c>
      <c r="I52" s="339">
        <f t="shared" si="3"/>
        <v>0</v>
      </c>
      <c r="J52" s="339" t="e">
        <f t="shared" si="15"/>
        <v>#N/A</v>
      </c>
      <c r="K52">
        <f>COUNTIFS('Quote Log'!$C:$C,"&gt;="&amp;DATE(2021,12,12),'Quote Log'!$C:$C,"&lt;="&amp;DATE(2021,12,18),'Quote Log'!$B:$B,"=LOST")</f>
        <v>0</v>
      </c>
      <c r="L52">
        <f>COUNTIFS('Quote Log'!$B:$B,"&lt;&gt;VOID",'Quote Log'!$B:$B,"&lt;&gt;Requoted",'Quote Log'!$C:$C,"&gt;="&amp;DATE(2021,12,12),'Quote Log'!$C:$C,"&lt;="&amp;DATE(2021,12,18),'Quote Log'!$V:$V,"=new")</f>
        <v>0</v>
      </c>
      <c r="M52" s="349">
        <f t="shared" si="5"/>
        <v>0</v>
      </c>
      <c r="N52" s="339" t="e">
        <f t="shared" si="16"/>
        <v>#N/A</v>
      </c>
      <c r="O52" s="351">
        <f>SUMIFS('Quote Log'!$AB:$AB,'Quote Log'!$C:$C,"&gt;="&amp;DATE(2021,12,12),'Quote Log'!$C:$C,"&lt;="&amp;DATE(2021,12,18),'Quote Log'!$B:$B,"=Purchased",'Quote Log'!$AB:$AB,"&lt;&gt;#VALUE!")</f>
        <v>0</v>
      </c>
      <c r="P52" s="351" t="e">
        <f t="shared" si="17"/>
        <v>#N/A</v>
      </c>
      <c r="Q52" s="349" t="e">
        <f>NA()</f>
        <v>#N/A</v>
      </c>
      <c r="R52" s="349" t="e">
        <f t="shared" si="18"/>
        <v>#N/A</v>
      </c>
      <c r="S52" s="351">
        <f t="shared" si="21"/>
        <v>0</v>
      </c>
      <c r="T52" s="351" t="e">
        <f t="shared" si="19"/>
        <v>#N/A</v>
      </c>
      <c r="U52" s="349" t="e">
        <f>NA()</f>
        <v>#N/A</v>
      </c>
      <c r="V52" s="349" t="e">
        <f t="shared" si="20"/>
        <v>#N/A</v>
      </c>
    </row>
    <row r="53" spans="1:24" x14ac:dyDescent="0.25">
      <c r="A53">
        <v>2021</v>
      </c>
      <c r="B53" s="350">
        <v>52</v>
      </c>
      <c r="C53">
        <f>COUNTIFS('Quote Log'!$B:$B,"&lt;&gt;VOID",'Quote Log'!$B:$B,"&lt;&gt;Requoted",'Quote Log'!$C:$C,"&gt;="&amp;DATE(2021,12,19),'Quote Log'!$C:$C,"&lt;="&amp;DATE(2021,12,25))</f>
        <v>0</v>
      </c>
      <c r="D53" t="e">
        <f t="shared" si="12"/>
        <v>#N/A</v>
      </c>
      <c r="E53">
        <f>COUNTIFS('Quote Log'!$B:$B,"&lt;&gt;VOID",'Quote Log'!$B:$B,"&lt;&gt;Requoted",'Quote Log'!$H:$H,"&gt;="&amp;DATE(2021,12,19),'Quote Log'!$H:$H,"&lt;="&amp;DATE(2021,12,25))</f>
        <v>0</v>
      </c>
      <c r="F53" t="e">
        <f t="shared" si="13"/>
        <v>#N/A</v>
      </c>
      <c r="G53">
        <f>COUNTIFS('Quote Log'!$C:$C,"&gt;="&amp;DATE(2021,12,19),'Quote Log'!$C:$C,"&lt;="&amp;DATE(2021,12,25),'Quote Log'!$B:$B,"=Purchased")</f>
        <v>0</v>
      </c>
      <c r="H53" t="e">
        <f t="shared" si="14"/>
        <v>#N/A</v>
      </c>
      <c r="I53" s="339">
        <f t="shared" si="3"/>
        <v>0</v>
      </c>
      <c r="J53" s="339" t="e">
        <f t="shared" si="15"/>
        <v>#N/A</v>
      </c>
      <c r="K53">
        <f>COUNTIFS('Quote Log'!$C:$C,"&gt;="&amp;DATE(2021,12,19),'Quote Log'!$C:$C,"&lt;="&amp;DATE(2021,12,25),'Quote Log'!$B:$B,"=LOST")</f>
        <v>0</v>
      </c>
      <c r="L53">
        <f>COUNTIFS('Quote Log'!$B:$B,"&lt;&gt;VOID",'Quote Log'!$B:$B,"&lt;&gt;Requoted",'Quote Log'!$C:$C,"&gt;="&amp;DATE(2021,12,19),'Quote Log'!$C:$C,"&lt;="&amp;DATE(2021,12,25),'Quote Log'!$V:$V,"=new")</f>
        <v>0</v>
      </c>
      <c r="M53" s="349">
        <f t="shared" si="5"/>
        <v>0</v>
      </c>
      <c r="N53" s="339" t="e">
        <f t="shared" si="16"/>
        <v>#N/A</v>
      </c>
      <c r="O53" s="351">
        <f>SUMIFS('Quote Log'!$AB:$AB,'Quote Log'!$C:$C,"&gt;="&amp;DATE(2021,12,19),'Quote Log'!$C:$C,"&lt;="&amp;DATE(2021,12,25),'Quote Log'!$B:$B,"=Purchased",'Quote Log'!$AB:$AB,"&lt;&gt;#VALUE!")</f>
        <v>0</v>
      </c>
      <c r="P53" s="351" t="e">
        <f t="shared" si="17"/>
        <v>#N/A</v>
      </c>
      <c r="Q53" s="349" t="e">
        <f>NA()</f>
        <v>#N/A</v>
      </c>
      <c r="R53" s="349" t="e">
        <f t="shared" si="18"/>
        <v>#N/A</v>
      </c>
      <c r="S53" s="351">
        <f t="shared" si="21"/>
        <v>0</v>
      </c>
      <c r="T53" s="351" t="e">
        <f t="shared" si="19"/>
        <v>#N/A</v>
      </c>
      <c r="U53" s="349" t="e">
        <f>NA()</f>
        <v>#N/A</v>
      </c>
      <c r="V53" s="349" t="e">
        <f t="shared" si="20"/>
        <v>#N/A</v>
      </c>
    </row>
    <row r="54" spans="1:24" x14ac:dyDescent="0.25">
      <c r="A54">
        <v>2021</v>
      </c>
      <c r="B54" s="350">
        <v>53</v>
      </c>
      <c r="C54">
        <f>COUNTIFS('Quote Log'!$B:$B,"&lt;&gt;VOID",'Quote Log'!$B:$B,"&lt;&gt;Requoted",'Quote Log'!$C:$C,"&gt;="&amp;DATE(2021,12,26),'Quote Log'!$C:$C,"&lt;="&amp;DATE(2021,12,31))</f>
        <v>0</v>
      </c>
      <c r="D54" t="e">
        <f t="shared" si="12"/>
        <v>#N/A</v>
      </c>
      <c r="E54">
        <f>COUNTIFS('Quote Log'!$B:$B,"&lt;&gt;VOID",'Quote Log'!$B:$B,"&lt;&gt;Requoted",'Quote Log'!$H:$H,"&gt;="&amp;DATE(2021,12,26),'Quote Log'!$H:$H,"&lt;="&amp;DATE(2021,12,31))</f>
        <v>0</v>
      </c>
      <c r="F54" t="e">
        <f t="shared" si="13"/>
        <v>#N/A</v>
      </c>
      <c r="G54">
        <f>COUNTIFS('Quote Log'!$C:$C,"&gt;="&amp;DATE(2021,12,26),'Quote Log'!$C:$C,"&lt;="&amp;DATE(2021,12,31),'Quote Log'!$B:$B,"=Purchased")</f>
        <v>0</v>
      </c>
      <c r="H54" t="e">
        <f t="shared" si="14"/>
        <v>#N/A</v>
      </c>
      <c r="I54" s="339">
        <f t="shared" si="3"/>
        <v>0</v>
      </c>
      <c r="J54" s="339" t="e">
        <f t="shared" si="15"/>
        <v>#N/A</v>
      </c>
      <c r="K54">
        <f>COUNTIFS('Quote Log'!$C:$C,"&gt;="&amp;DATE(2021,12,26),'Quote Log'!$C:$C,"&lt;="&amp;DATE(2021,12,31),'Quote Log'!$B:$B,"=LOST")</f>
        <v>0</v>
      </c>
      <c r="L54">
        <f>COUNTIFS('Quote Log'!$B:$B,"&lt;&gt;VOID",'Quote Log'!$B:$B,"&lt;&gt;Requoted",'Quote Log'!$C:$C,"&gt;="&amp;DATE(2021,12,26),'Quote Log'!$C:$C,"&lt;="&amp;DATE(2021,12,31),'Quote Log'!$V:$V,"=new")</f>
        <v>0</v>
      </c>
      <c r="M54" s="349">
        <f t="shared" si="5"/>
        <v>0</v>
      </c>
      <c r="N54" s="339" t="e">
        <f t="shared" si="16"/>
        <v>#N/A</v>
      </c>
      <c r="O54" s="351">
        <f>SUMIFS('Quote Log'!$AB:$AB,'Quote Log'!$C:$C,"&gt;="&amp;DATE(2021,12,26),'Quote Log'!$C:$C,"&lt;="&amp;DATE(2021,12,31),'Quote Log'!$B:$B,"=Purchased",'Quote Log'!$AB:$AB,"&lt;&gt;#VALUE!")</f>
        <v>0</v>
      </c>
      <c r="P54" s="351" t="e">
        <f t="shared" si="17"/>
        <v>#N/A</v>
      </c>
      <c r="Q54" s="349" t="e">
        <f>NA()</f>
        <v>#N/A</v>
      </c>
      <c r="R54" s="349" t="e">
        <f t="shared" si="18"/>
        <v>#N/A</v>
      </c>
      <c r="S54" s="351">
        <f t="shared" si="21"/>
        <v>0</v>
      </c>
      <c r="T54" s="351" t="e">
        <f t="shared" si="19"/>
        <v>#N/A</v>
      </c>
      <c r="U54" s="349" t="e">
        <f>NA()</f>
        <v>#N/A</v>
      </c>
      <c r="V54" s="349" t="e">
        <f t="shared" si="20"/>
        <v>#N/A</v>
      </c>
    </row>
    <row r="55" spans="1:24" x14ac:dyDescent="0.25">
      <c r="A55">
        <v>2022</v>
      </c>
      <c r="B55" s="350">
        <v>1</v>
      </c>
      <c r="C55">
        <f>COUNTIFS('Quote Log'!$B:$B,"&lt;&gt;VOID",'Quote Log'!$B:$B,"&lt;&gt;Requoted",'Quote Log'!$C:$C,"&gt;="&amp;DATE(2022,1,1),'Quote Log'!$C:$C,"&lt;="&amp;DATE(2022,1,2))</f>
        <v>0</v>
      </c>
      <c r="D55" t="e">
        <f t="shared" ref="D55:D86" si="22">IF($Z$3,C55,NA())</f>
        <v>#N/A</v>
      </c>
      <c r="E55">
        <f>COUNTIFS('Quote Log'!$B:$B,"&lt;&gt;VOID",'Quote Log'!$B:$B,"&lt;&gt;Requoted",'Quote Log'!$H:$H,"&gt;="&amp;DATE(2022,1,1),'Quote Log'!$H:$H,"&lt;="&amp;DATE(2022,1,2))</f>
        <v>0</v>
      </c>
      <c r="F55" t="e">
        <f t="shared" ref="F55:F86" si="23">IF($Z$3,E55,NA())</f>
        <v>#N/A</v>
      </c>
      <c r="G55">
        <f>COUNTIFS('Quote Log'!$C:$C,"&gt;="&amp;DATE(2022,1,1),'Quote Log'!$C:$C,"&lt;="&amp;DATE(2022,1,2),'Quote Log'!$B:$B,"=Purchased")</f>
        <v>0</v>
      </c>
      <c r="H55" t="e">
        <f t="shared" ref="H55:H86" si="24">IF(Z$3,G55,NA())</f>
        <v>#N/A</v>
      </c>
      <c r="I55" s="339">
        <f t="shared" si="3"/>
        <v>0</v>
      </c>
      <c r="J55" s="339" t="e">
        <f t="shared" ref="J55:J86" si="25">IF($Z$3,I55,NA())</f>
        <v>#N/A</v>
      </c>
      <c r="K55">
        <f>COUNTIFS('Quote Log'!$C:$C,"&gt;="&amp;DATE(2022,1,1),'Quote Log'!$C:$C,"&lt;="&amp;DATE(2022,1,2),'Quote Log'!$B:$B,"=LOST")</f>
        <v>0</v>
      </c>
      <c r="L55">
        <f>COUNTIFS('Quote Log'!$B:$B,"&lt;&gt;VOID",'Quote Log'!$B:$B,"&lt;&gt;Requoted",'Quote Log'!$C:$C,"&gt;="&amp;DATE(2022,1,1),'Quote Log'!$C:$C,"&lt;="&amp;DATE(2022,1,2),'Quote Log'!$V:$V,"=new")</f>
        <v>0</v>
      </c>
      <c r="M55" s="349">
        <f t="shared" si="5"/>
        <v>0</v>
      </c>
      <c r="N55" s="339" t="e">
        <f t="shared" ref="N55:N86" si="26">IF($Z$3,M55,NA())</f>
        <v>#N/A</v>
      </c>
      <c r="O55" s="351">
        <f>SUMIFS('Quote Log'!$AB:$AB,'Quote Log'!$C:$C,"&gt;="&amp;DATE(2022,1,1),'Quote Log'!$C:$C,"&lt;="&amp;DATE(2022,1,2),'Quote Log'!$B:$B,"=Purchased",'Quote Log'!$AB:$AB,"&lt;&gt;#VALUE!")</f>
        <v>0</v>
      </c>
      <c r="P55" s="351" t="e">
        <f t="shared" ref="P55:P86" si="27">IF($Z$3,O55,NA())</f>
        <v>#N/A</v>
      </c>
      <c r="Q55" s="349" t="e">
        <f t="shared" ref="Q55:Q86" si="28">(O55-O2)/O2</f>
        <v>#DIV/0!</v>
      </c>
      <c r="R55" s="349" t="e">
        <f t="shared" ref="R55:R86" si="29">IF($Z$3,Q55,NA())</f>
        <v>#N/A</v>
      </c>
      <c r="S55" s="351">
        <f>O55</f>
        <v>0</v>
      </c>
      <c r="T55" s="351" t="e">
        <f t="shared" ref="T55:T86" si="30">IF($Z$3,S55,NA())</f>
        <v>#N/A</v>
      </c>
      <c r="U55" s="349" t="e">
        <f t="shared" ref="U55:U86" si="31">(S55-S2)/S2</f>
        <v>#DIV/0!</v>
      </c>
      <c r="V55" s="349" t="e">
        <f t="shared" ref="V55:V86" si="32">IF($Z$3,U55,NA())</f>
        <v>#N/A</v>
      </c>
    </row>
    <row r="56" spans="1:24" x14ac:dyDescent="0.25">
      <c r="A56">
        <v>2022</v>
      </c>
      <c r="B56" s="350">
        <v>2</v>
      </c>
      <c r="C56">
        <f>COUNTIFS('Quote Log'!$B:$B,"&lt;&gt;VOID",'Quote Log'!$B:$B,"&lt;&gt;Requoted",'Quote Log'!$C:$C,"&gt;="&amp;DATE(2022,1,2),'Quote Log'!$C:$C,"&lt;="&amp;DATE(2022,1,8))</f>
        <v>0</v>
      </c>
      <c r="D56" t="e">
        <f t="shared" si="22"/>
        <v>#N/A</v>
      </c>
      <c r="E56">
        <f>COUNTIFS('Quote Log'!$B:$B,"&lt;&gt;VOID",'Quote Log'!$B:$B,"&lt;&gt;Requoted",'Quote Log'!$H:$H,"&gt;="&amp;DATE(2022,1,2),'Quote Log'!$H:$H,"&lt;="&amp;DATE(2022,1,8))</f>
        <v>0</v>
      </c>
      <c r="F56" t="e">
        <f t="shared" si="23"/>
        <v>#N/A</v>
      </c>
      <c r="G56">
        <f>COUNTIFS('Quote Log'!$C:$C,"&gt;="&amp;DATE(2022,1,2),'Quote Log'!$C:$C,"&lt;="&amp;DATE(2022,1,8),'Quote Log'!$B:$B,"=Purchased")</f>
        <v>0</v>
      </c>
      <c r="H56" t="e">
        <f t="shared" si="24"/>
        <v>#N/A</v>
      </c>
      <c r="I56" s="339">
        <f t="shared" si="3"/>
        <v>0</v>
      </c>
      <c r="J56" s="339" t="e">
        <f t="shared" si="25"/>
        <v>#N/A</v>
      </c>
      <c r="K56">
        <f>COUNTIFS('Quote Log'!$C:$C,"&gt;="&amp;DATE(2022,1,2),'Quote Log'!$C:$C,"&lt;="&amp;DATE(2022,1,8),'Quote Log'!$B:$B,"=LOST")</f>
        <v>0</v>
      </c>
      <c r="L56">
        <f>COUNTIFS('Quote Log'!$B:$B,"&lt;&gt;VOID",'Quote Log'!$B:$B,"&lt;&gt;Requoted",'Quote Log'!$C:$C,"&gt;="&amp;DATE(2022,1,2),'Quote Log'!$C:$C,"&lt;="&amp;DATE(2022,1,8),'Quote Log'!$V:$V,"=new")</f>
        <v>0</v>
      </c>
      <c r="M56" s="349">
        <f t="shared" si="5"/>
        <v>0</v>
      </c>
      <c r="N56" s="339" t="e">
        <f t="shared" si="26"/>
        <v>#N/A</v>
      </c>
      <c r="O56" s="351">
        <f>SUMIFS('Quote Log'!$AB:$AB,'Quote Log'!$C:$C,"&gt;="&amp;DATE(2022,1,2),'Quote Log'!$C:$C,"&lt;="&amp;DATE(2022,1,8),'Quote Log'!$B:$B,"=Purchased",'Quote Log'!$AB:$AB,"&lt;&gt;#VALUE!")</f>
        <v>0</v>
      </c>
      <c r="P56" s="351" t="e">
        <f t="shared" si="27"/>
        <v>#N/A</v>
      </c>
      <c r="Q56" s="349" t="e">
        <f t="shared" si="28"/>
        <v>#DIV/0!</v>
      </c>
      <c r="R56" s="349" t="e">
        <f t="shared" si="29"/>
        <v>#N/A</v>
      </c>
      <c r="S56" s="351">
        <f t="shared" ref="S56:S87" si="33">O56+S55</f>
        <v>0</v>
      </c>
      <c r="T56" s="351" t="e">
        <f t="shared" si="30"/>
        <v>#N/A</v>
      </c>
      <c r="U56" s="349" t="e">
        <f t="shared" si="31"/>
        <v>#DIV/0!</v>
      </c>
      <c r="V56" s="349" t="e">
        <f t="shared" si="32"/>
        <v>#N/A</v>
      </c>
    </row>
    <row r="57" spans="1:24" x14ac:dyDescent="0.25">
      <c r="A57">
        <v>2022</v>
      </c>
      <c r="B57" s="350">
        <v>3</v>
      </c>
      <c r="C57">
        <f>COUNTIFS('Quote Log'!$B:$B,"&lt;&gt;VOID",'Quote Log'!$B:$B,"&lt;&gt;Requoted",'Quote Log'!$C:$C,"&gt;="&amp;DATE(2022,1,9),'Quote Log'!$C:$C,"&lt;="&amp;DATE(2022,1,15))</f>
        <v>0</v>
      </c>
      <c r="D57" t="e">
        <f t="shared" si="22"/>
        <v>#N/A</v>
      </c>
      <c r="E57">
        <f>COUNTIFS('Quote Log'!$B:$B,"&lt;&gt;VOID",'Quote Log'!$B:$B,"&lt;&gt;Requoted",'Quote Log'!$H:$H,"&gt;="&amp;DATE(2022,1,9),'Quote Log'!$H:$H,"&lt;="&amp;DATE(2022,1,15))</f>
        <v>0</v>
      </c>
      <c r="F57" t="e">
        <f t="shared" si="23"/>
        <v>#N/A</v>
      </c>
      <c r="G57">
        <f>COUNTIFS('Quote Log'!$C:$C,"&gt;="&amp;DATE(2022,1,9),'Quote Log'!$C:$C,"&lt;="&amp;DATE(2022,1,15),'Quote Log'!$B:$B,"=Purchased")</f>
        <v>0</v>
      </c>
      <c r="H57" t="e">
        <f t="shared" si="24"/>
        <v>#N/A</v>
      </c>
      <c r="I57" s="339">
        <f t="shared" si="3"/>
        <v>0</v>
      </c>
      <c r="J57" s="339" t="e">
        <f t="shared" si="25"/>
        <v>#N/A</v>
      </c>
      <c r="K57">
        <f>COUNTIFS('Quote Log'!$C:$C,"&gt;="&amp;DATE(2022,1,9),'Quote Log'!$C:$C,"&lt;="&amp;DATE(2022,1,15),'Quote Log'!$B:$B,"=LOST")</f>
        <v>0</v>
      </c>
      <c r="L57">
        <f>COUNTIFS('Quote Log'!$B:$B,"&lt;&gt;VOID",'Quote Log'!$B:$B,"&lt;&gt;Requoted",'Quote Log'!$C:$C,"&gt;="&amp;DATE(2022,1,9),'Quote Log'!$C:$C,"&lt;="&amp;DATE(2022,1,15),'Quote Log'!$V:$V,"=new")</f>
        <v>0</v>
      </c>
      <c r="M57" s="349">
        <f t="shared" si="5"/>
        <v>0</v>
      </c>
      <c r="N57" s="339" t="e">
        <f t="shared" si="26"/>
        <v>#N/A</v>
      </c>
      <c r="O57" s="351">
        <f>SUMIFS('Quote Log'!$AB:$AB,'Quote Log'!$C:$C,"&gt;="&amp;DATE(2022,1,9),'Quote Log'!$C:$C,"&lt;="&amp;DATE(2022,1,15),'Quote Log'!$B:$B,"=Purchased",'Quote Log'!$AB:$AB,"&lt;&gt;#VALUE!")</f>
        <v>0</v>
      </c>
      <c r="P57" s="351" t="e">
        <f t="shared" si="27"/>
        <v>#N/A</v>
      </c>
      <c r="Q57" s="349" t="e">
        <f t="shared" si="28"/>
        <v>#DIV/0!</v>
      </c>
      <c r="R57" s="349" t="e">
        <f t="shared" si="29"/>
        <v>#N/A</v>
      </c>
      <c r="S57" s="351">
        <f t="shared" si="33"/>
        <v>0</v>
      </c>
      <c r="T57" s="351" t="e">
        <f t="shared" si="30"/>
        <v>#N/A</v>
      </c>
      <c r="U57" s="349" t="e">
        <f t="shared" si="31"/>
        <v>#DIV/0!</v>
      </c>
      <c r="V57" s="349" t="e">
        <f t="shared" si="32"/>
        <v>#N/A</v>
      </c>
    </row>
    <row r="58" spans="1:24" x14ac:dyDescent="0.25">
      <c r="A58">
        <v>2022</v>
      </c>
      <c r="B58" s="350">
        <v>4</v>
      </c>
      <c r="C58">
        <f>COUNTIFS('Quote Log'!$B:$B,"&lt;&gt;VOID",'Quote Log'!$B:$B,"&lt;&gt;Requoted",'Quote Log'!$C:$C,"&gt;="&amp;DATE(2022,1,16),'Quote Log'!$C:$C,"&lt;="&amp;DATE(2022,1,22))</f>
        <v>0</v>
      </c>
      <c r="D58" t="e">
        <f t="shared" si="22"/>
        <v>#N/A</v>
      </c>
      <c r="E58">
        <f>COUNTIFS('Quote Log'!$B:$B,"&lt;&gt;VOID",'Quote Log'!$B:$B,"&lt;&gt;Requoted",'Quote Log'!$H:$H,"&gt;="&amp;DATE(2022,1,16),'Quote Log'!$H:$H,"&lt;="&amp;DATE(2022,1,22))</f>
        <v>0</v>
      </c>
      <c r="F58" t="e">
        <f t="shared" si="23"/>
        <v>#N/A</v>
      </c>
      <c r="G58">
        <f>COUNTIFS('Quote Log'!$C:$C,"&gt;="&amp;DATE(2022,1,16),'Quote Log'!$C:$C,"&lt;="&amp;DATE(2022,1,22),'Quote Log'!$B:$B,"=Purchased")</f>
        <v>0</v>
      </c>
      <c r="H58" t="e">
        <f t="shared" si="24"/>
        <v>#N/A</v>
      </c>
      <c r="I58" s="339">
        <f t="shared" si="3"/>
        <v>0</v>
      </c>
      <c r="J58" s="339" t="e">
        <f t="shared" si="25"/>
        <v>#N/A</v>
      </c>
      <c r="K58">
        <f>COUNTIFS('Quote Log'!$C:$C,"&gt;="&amp;DATE(2022,1,16),'Quote Log'!$C:$C,"&lt;="&amp;DATE(2022,1,22),'Quote Log'!$B:$B,"=LOST")</f>
        <v>0</v>
      </c>
      <c r="L58">
        <f>COUNTIFS('Quote Log'!$B:$B,"&lt;&gt;VOID",'Quote Log'!$B:$B,"&lt;&gt;Requoted",'Quote Log'!$C:$C,"&gt;="&amp;DATE(2022,1,16),'Quote Log'!$C:$C,"&lt;="&amp;DATE(2022,1,22),'Quote Log'!$V:$V,"=new")</f>
        <v>0</v>
      </c>
      <c r="M58" s="349">
        <f t="shared" si="5"/>
        <v>0</v>
      </c>
      <c r="N58" s="339" t="e">
        <f t="shared" si="26"/>
        <v>#N/A</v>
      </c>
      <c r="O58" s="351">
        <f>SUMIFS('Quote Log'!$AB:$AB,'Quote Log'!$C:$C,"&gt;="&amp;DATE(2022,1,16),'Quote Log'!$C:$C,"&lt;="&amp;DATE(2022,1,22),'Quote Log'!$B:$B,"=Purchased",'Quote Log'!$AB:$AB,"&lt;&gt;#VALUE!")</f>
        <v>0</v>
      </c>
      <c r="P58" s="351" t="e">
        <f t="shared" si="27"/>
        <v>#N/A</v>
      </c>
      <c r="Q58" s="349" t="e">
        <f t="shared" si="28"/>
        <v>#DIV/0!</v>
      </c>
      <c r="R58" s="349" t="e">
        <f t="shared" si="29"/>
        <v>#N/A</v>
      </c>
      <c r="S58" s="351">
        <f t="shared" si="33"/>
        <v>0</v>
      </c>
      <c r="T58" s="351" t="e">
        <f t="shared" si="30"/>
        <v>#N/A</v>
      </c>
      <c r="U58" s="349" t="e">
        <f t="shared" si="31"/>
        <v>#DIV/0!</v>
      </c>
      <c r="V58" s="349" t="e">
        <f t="shared" si="32"/>
        <v>#N/A</v>
      </c>
    </row>
    <row r="59" spans="1:24" x14ac:dyDescent="0.25">
      <c r="A59">
        <v>2022</v>
      </c>
      <c r="B59" s="350">
        <v>5</v>
      </c>
      <c r="C59">
        <f>COUNTIFS('Quote Log'!$B:$B,"&lt;&gt;VOID",'Quote Log'!$B:$B,"&lt;&gt;Requoted",'Quote Log'!$C:$C,"&gt;="&amp;DATE(2022,1,23),'Quote Log'!$C:$C,"&lt;="&amp;DATE(2022,1,29))</f>
        <v>0</v>
      </c>
      <c r="D59" t="e">
        <f t="shared" si="22"/>
        <v>#N/A</v>
      </c>
      <c r="E59">
        <f>COUNTIFS('Quote Log'!$B:$B,"&lt;&gt;VOID",'Quote Log'!$B:$B,"&lt;&gt;Requoted",'Quote Log'!$H:$H,"&gt;="&amp;DATE(2022,1,23),'Quote Log'!$H:$H,"&lt;="&amp;DATE(2022,1,29))</f>
        <v>0</v>
      </c>
      <c r="F59" t="e">
        <f t="shared" si="23"/>
        <v>#N/A</v>
      </c>
      <c r="G59">
        <f>COUNTIFS('Quote Log'!$C:$C,"&gt;="&amp;DATE(2022,1,23),'Quote Log'!$C:$C,"&lt;="&amp;DATE(2022,1,29),'Quote Log'!$B:$B,"=Purchased")</f>
        <v>0</v>
      </c>
      <c r="H59" t="e">
        <f t="shared" si="24"/>
        <v>#N/A</v>
      </c>
      <c r="I59" s="339">
        <f t="shared" si="3"/>
        <v>0</v>
      </c>
      <c r="J59" s="339" t="e">
        <f t="shared" si="25"/>
        <v>#N/A</v>
      </c>
      <c r="K59">
        <f>COUNTIFS('Quote Log'!$C:$C,"&gt;="&amp;DATE(2022,1,23),'Quote Log'!$C:$C,"&lt;="&amp;DATE(2022,1,29),'Quote Log'!$B:$B,"=LOST")</f>
        <v>0</v>
      </c>
      <c r="L59">
        <f>COUNTIFS('Quote Log'!$B:$B,"&lt;&gt;VOID",'Quote Log'!$B:$B,"&lt;&gt;Requoted",'Quote Log'!$C:$C,"&gt;="&amp;DATE(2022,1,23),'Quote Log'!$C:$C,"&lt;="&amp;DATE(2022,1,29),'Quote Log'!$V:$V,"=new")</f>
        <v>0</v>
      </c>
      <c r="M59" s="349">
        <f t="shared" si="5"/>
        <v>0</v>
      </c>
      <c r="N59" s="339" t="e">
        <f t="shared" si="26"/>
        <v>#N/A</v>
      </c>
      <c r="O59" s="351">
        <f>SUMIFS('Quote Log'!$AB:$AB,'Quote Log'!$C:$C,"&gt;="&amp;DATE(2022,1,23),'Quote Log'!$C:$C,"&lt;="&amp;DATE(2022,1,29),'Quote Log'!$B:$B,"=Purchased",'Quote Log'!$AB:$AB,"&lt;&gt;#VALUE!")</f>
        <v>0</v>
      </c>
      <c r="P59" s="351" t="e">
        <f t="shared" si="27"/>
        <v>#N/A</v>
      </c>
      <c r="Q59" s="349" t="e">
        <f t="shared" si="28"/>
        <v>#DIV/0!</v>
      </c>
      <c r="R59" s="349" t="e">
        <f t="shared" si="29"/>
        <v>#N/A</v>
      </c>
      <c r="S59" s="351">
        <f t="shared" si="33"/>
        <v>0</v>
      </c>
      <c r="T59" s="351" t="e">
        <f t="shared" si="30"/>
        <v>#N/A</v>
      </c>
      <c r="U59" s="349" t="e">
        <f t="shared" si="31"/>
        <v>#DIV/0!</v>
      </c>
      <c r="V59" s="349" t="e">
        <f t="shared" si="32"/>
        <v>#N/A</v>
      </c>
    </row>
    <row r="60" spans="1:24" x14ac:dyDescent="0.25">
      <c r="A60">
        <v>2022</v>
      </c>
      <c r="B60" s="350">
        <v>6</v>
      </c>
      <c r="C60">
        <f>COUNTIFS('Quote Log'!$B:$B,"&lt;&gt;VOID",'Quote Log'!$B:$B,"&lt;&gt;Requoted",'Quote Log'!$C:$C,"&gt;="&amp;DATE(2022,1,30),'Quote Log'!$C:$C,"&lt;="&amp;DATE(2022,2,5))</f>
        <v>0</v>
      </c>
      <c r="D60" t="e">
        <f t="shared" si="22"/>
        <v>#N/A</v>
      </c>
      <c r="E60">
        <f>COUNTIFS('Quote Log'!$B:$B,"&lt;&gt;VOID",'Quote Log'!$B:$B,"&lt;&gt;Requoted",'Quote Log'!$H:$H,"&gt;="&amp;DATE(2022,1,30),'Quote Log'!$H:$H,"&lt;="&amp;DATE(2022,2,5))</f>
        <v>0</v>
      </c>
      <c r="F60" t="e">
        <f t="shared" si="23"/>
        <v>#N/A</v>
      </c>
      <c r="G60">
        <f>COUNTIFS('Quote Log'!$C:$C,"&gt;="&amp;DATE(2022,1,30),'Quote Log'!$C:$C,"&lt;="&amp;DATE(2022,2,5),'Quote Log'!$B:$B,"=Purchased")</f>
        <v>0</v>
      </c>
      <c r="H60" t="e">
        <f t="shared" si="24"/>
        <v>#N/A</v>
      </c>
      <c r="I60" s="339">
        <f t="shared" si="3"/>
        <v>0</v>
      </c>
      <c r="J60" s="339" t="e">
        <f t="shared" si="25"/>
        <v>#N/A</v>
      </c>
      <c r="K60">
        <f>COUNTIFS('Quote Log'!$C:$C,"&gt;="&amp;DATE(2022,1,30),'Quote Log'!$C:$C,"&lt;="&amp;DATE(2022,2,5),'Quote Log'!$B:$B,"=LOST")</f>
        <v>0</v>
      </c>
      <c r="L60">
        <f>COUNTIFS('Quote Log'!$B:$B,"&lt;&gt;VOID",'Quote Log'!$B:$B,"&lt;&gt;Requoted",'Quote Log'!$C:$C,"&gt;="&amp;DATE(2022,1,30),'Quote Log'!$C:$C,"&lt;="&amp;DATE(2022,2,5),'Quote Log'!$V:$V,"=new")</f>
        <v>0</v>
      </c>
      <c r="M60" s="349">
        <f t="shared" si="5"/>
        <v>0</v>
      </c>
      <c r="N60" s="339" t="e">
        <f t="shared" si="26"/>
        <v>#N/A</v>
      </c>
      <c r="O60" s="351">
        <f>SUMIFS('Quote Log'!$AB:$AB,'Quote Log'!$C:$C,"&gt;="&amp;DATE(2022,1,30),'Quote Log'!$C:$C,"&lt;="&amp;DATE(2022,2,5),'Quote Log'!$B:$B,"=Purchased",'Quote Log'!$AB:$AB,"&lt;&gt;#VALUE!")</f>
        <v>0</v>
      </c>
      <c r="P60" s="351" t="e">
        <f t="shared" si="27"/>
        <v>#N/A</v>
      </c>
      <c r="Q60" s="349" t="e">
        <f t="shared" si="28"/>
        <v>#DIV/0!</v>
      </c>
      <c r="R60" s="349" t="e">
        <f t="shared" si="29"/>
        <v>#N/A</v>
      </c>
      <c r="S60" s="351">
        <f t="shared" si="33"/>
        <v>0</v>
      </c>
      <c r="T60" s="351" t="e">
        <f t="shared" si="30"/>
        <v>#N/A</v>
      </c>
      <c r="U60" s="349" t="e">
        <f t="shared" si="31"/>
        <v>#DIV/0!</v>
      </c>
      <c r="V60" s="349" t="e">
        <f t="shared" si="32"/>
        <v>#N/A</v>
      </c>
    </row>
    <row r="61" spans="1:24" x14ac:dyDescent="0.25">
      <c r="A61">
        <v>2022</v>
      </c>
      <c r="B61" s="350">
        <v>7</v>
      </c>
      <c r="C61">
        <f>COUNTIFS('Quote Log'!$B:$B,"&lt;&gt;VOID",'Quote Log'!$B:$B,"&lt;&gt;Requoted",'Quote Log'!$C:$C,"&gt;="&amp;DATE(2022,2,6),'Quote Log'!$C:$C,"&lt;="&amp;DATE(2022,2,12))</f>
        <v>0</v>
      </c>
      <c r="D61" t="e">
        <f t="shared" si="22"/>
        <v>#N/A</v>
      </c>
      <c r="E61">
        <f>COUNTIFS('Quote Log'!$B:$B,"&lt;&gt;VOID",'Quote Log'!$B:$B,"&lt;&gt;Requoted",'Quote Log'!$H:$H,"&gt;="&amp;DATE(2022,2,6),'Quote Log'!$H:$H,"&lt;="&amp;DATE(2022,2,12))</f>
        <v>0</v>
      </c>
      <c r="F61" t="e">
        <f t="shared" si="23"/>
        <v>#N/A</v>
      </c>
      <c r="G61">
        <f>COUNTIFS('Quote Log'!$C:$C,"&gt;="&amp;DATE(2022,2,6),'Quote Log'!$C:$C,"&lt;="&amp;DATE(2022,2,12),'Quote Log'!$B:$B,"=Purchased")</f>
        <v>0</v>
      </c>
      <c r="H61" t="e">
        <f t="shared" si="24"/>
        <v>#N/A</v>
      </c>
      <c r="I61" s="339">
        <f t="shared" si="3"/>
        <v>0</v>
      </c>
      <c r="J61" s="339" t="e">
        <f t="shared" si="25"/>
        <v>#N/A</v>
      </c>
      <c r="K61">
        <f>COUNTIFS('Quote Log'!$C:$C,"&gt;="&amp;DATE(2022,2,6),'Quote Log'!$C:$C,"&lt;="&amp;DATE(2022,2,12),'Quote Log'!$B:$B,"=LOST")</f>
        <v>0</v>
      </c>
      <c r="L61">
        <f>COUNTIFS('Quote Log'!$B:$B,"&lt;&gt;VOID",'Quote Log'!$B:$B,"&lt;&gt;Requoted",'Quote Log'!$C:$C,"&gt;="&amp;DATE(2022,2,6),'Quote Log'!$C:$C,"&lt;="&amp;DATE(2022,2,12),'Quote Log'!$V:$V,"=new")</f>
        <v>0</v>
      </c>
      <c r="M61" s="349">
        <f t="shared" si="5"/>
        <v>0</v>
      </c>
      <c r="N61" s="339" t="e">
        <f t="shared" si="26"/>
        <v>#N/A</v>
      </c>
      <c r="O61" s="351">
        <f>SUMIFS('Quote Log'!$AB:$AB,'Quote Log'!$C:$C,"&gt;="&amp;DATE(2022,2,6),'Quote Log'!$C:$C,"&lt;="&amp;DATE(2022,2,12),'Quote Log'!$B:$B,"=Purchased",'Quote Log'!$AB:$AB,"&lt;&gt;#VALUE!")</f>
        <v>0</v>
      </c>
      <c r="P61" s="351" t="e">
        <f t="shared" si="27"/>
        <v>#N/A</v>
      </c>
      <c r="Q61" s="349" t="e">
        <f t="shared" si="28"/>
        <v>#DIV/0!</v>
      </c>
      <c r="R61" s="349" t="e">
        <f t="shared" si="29"/>
        <v>#N/A</v>
      </c>
      <c r="S61" s="351">
        <f t="shared" si="33"/>
        <v>0</v>
      </c>
      <c r="T61" s="351" t="e">
        <f t="shared" si="30"/>
        <v>#N/A</v>
      </c>
      <c r="U61" s="349" t="e">
        <f t="shared" si="31"/>
        <v>#DIV/0!</v>
      </c>
      <c r="V61" s="349" t="e">
        <f t="shared" si="32"/>
        <v>#N/A</v>
      </c>
    </row>
    <row r="62" spans="1:24" x14ac:dyDescent="0.25">
      <c r="A62">
        <v>2022</v>
      </c>
      <c r="B62" s="350">
        <v>8</v>
      </c>
      <c r="C62">
        <f>COUNTIFS('Quote Log'!$B:$B,"&lt;&gt;VOID",'Quote Log'!$B:$B,"&lt;&gt;Requoted",'Quote Log'!$C:$C,"&gt;="&amp;DATE(2022,2,13),'Quote Log'!$C:$C,"&lt;="&amp;DATE(2022,2,19))</f>
        <v>0</v>
      </c>
      <c r="D62" t="e">
        <f t="shared" si="22"/>
        <v>#N/A</v>
      </c>
      <c r="E62">
        <f>COUNTIFS('Quote Log'!$B:$B,"&lt;&gt;VOID",'Quote Log'!$B:$B,"&lt;&gt;Requoted",'Quote Log'!$H:$H,"&gt;="&amp;DATE(2022,2,13),'Quote Log'!$H:$H,"&lt;="&amp;DATE(2022,2,19))</f>
        <v>0</v>
      </c>
      <c r="F62" t="e">
        <f t="shared" si="23"/>
        <v>#N/A</v>
      </c>
      <c r="G62">
        <f>COUNTIFS('Quote Log'!$C:$C,"&gt;="&amp;DATE(2022,2,13),'Quote Log'!$C:$C,"&lt;="&amp;DATE(2022,2,19),'Quote Log'!$B:$B,"=Purchased")</f>
        <v>0</v>
      </c>
      <c r="H62" t="e">
        <f t="shared" si="24"/>
        <v>#N/A</v>
      </c>
      <c r="I62" s="339">
        <f t="shared" si="3"/>
        <v>0</v>
      </c>
      <c r="J62" s="339" t="e">
        <f t="shared" si="25"/>
        <v>#N/A</v>
      </c>
      <c r="K62">
        <f>COUNTIFS('Quote Log'!$C:$C,"&gt;="&amp;DATE(2022,2,13),'Quote Log'!$C:$C,"&lt;="&amp;DATE(2022,2,19),'Quote Log'!$B:$B,"=LOST")</f>
        <v>0</v>
      </c>
      <c r="L62">
        <f>COUNTIFS('Quote Log'!$B:$B,"&lt;&gt;VOID",'Quote Log'!$B:$B,"&lt;&gt;Requoted",'Quote Log'!$C:$C,"&gt;="&amp;DATE(2022,2,13),'Quote Log'!$C:$C,"&lt;="&amp;DATE(2022,2,19),'Quote Log'!$V:$V,"=new")</f>
        <v>0</v>
      </c>
      <c r="M62" s="349">
        <f t="shared" si="5"/>
        <v>0</v>
      </c>
      <c r="N62" s="339" t="e">
        <f t="shared" si="26"/>
        <v>#N/A</v>
      </c>
      <c r="O62" s="351">
        <f>SUMIFS('Quote Log'!$AB:$AB,'Quote Log'!$C:$C,"&gt;="&amp;DATE(2022,2,13),'Quote Log'!$C:$C,"&lt;="&amp;DATE(2022,2,19),'Quote Log'!$B:$B,"=Purchased",'Quote Log'!$AB:$AB,"&lt;&gt;#VALUE!")</f>
        <v>0</v>
      </c>
      <c r="P62" s="351" t="e">
        <f t="shared" si="27"/>
        <v>#N/A</v>
      </c>
      <c r="Q62" s="349" t="e">
        <f t="shared" si="28"/>
        <v>#DIV/0!</v>
      </c>
      <c r="R62" s="349" t="e">
        <f t="shared" si="29"/>
        <v>#N/A</v>
      </c>
      <c r="S62" s="351">
        <f t="shared" si="33"/>
        <v>0</v>
      </c>
      <c r="T62" s="351" t="e">
        <f t="shared" si="30"/>
        <v>#N/A</v>
      </c>
      <c r="U62" s="349" t="e">
        <f t="shared" si="31"/>
        <v>#DIV/0!</v>
      </c>
      <c r="V62" s="349" t="e">
        <f t="shared" si="32"/>
        <v>#N/A</v>
      </c>
    </row>
    <row r="63" spans="1:24" x14ac:dyDescent="0.25">
      <c r="A63">
        <v>2022</v>
      </c>
      <c r="B63" s="350">
        <v>9</v>
      </c>
      <c r="C63">
        <f>COUNTIFS('Quote Log'!$B:$B,"&lt;&gt;VOID",'Quote Log'!$B:$B,"&lt;&gt;Requoted",'Quote Log'!$C:$C,"&gt;="&amp;DATE(2022,2,20),'Quote Log'!$C:$C,"&lt;="&amp;DATE(2022,2,26))</f>
        <v>0</v>
      </c>
      <c r="D63" t="e">
        <f t="shared" si="22"/>
        <v>#N/A</v>
      </c>
      <c r="E63">
        <f>COUNTIFS('Quote Log'!$B:$B,"&lt;&gt;VOID",'Quote Log'!$B:$B,"&lt;&gt;Requoted",'Quote Log'!$H:$H,"&gt;="&amp;DATE(2022,2,20),'Quote Log'!$H:$H,"&lt;="&amp;DATE(2022,2,26))</f>
        <v>0</v>
      </c>
      <c r="F63" t="e">
        <f t="shared" si="23"/>
        <v>#N/A</v>
      </c>
      <c r="G63">
        <f>COUNTIFS('Quote Log'!$C:$C,"&gt;="&amp;DATE(2022,2,20),'Quote Log'!$C:$C,"&lt;="&amp;DATE(2022,2,26),'Quote Log'!$B:$B,"=Purchased")</f>
        <v>0</v>
      </c>
      <c r="H63" t="e">
        <f t="shared" si="24"/>
        <v>#N/A</v>
      </c>
      <c r="I63" s="339">
        <f t="shared" si="3"/>
        <v>0</v>
      </c>
      <c r="J63" s="339" t="e">
        <f t="shared" si="25"/>
        <v>#N/A</v>
      </c>
      <c r="K63">
        <f>COUNTIFS('Quote Log'!$C:$C,"&gt;="&amp;DATE(2022,2,20),'Quote Log'!$C:$C,"&lt;="&amp;DATE(2022,2,26),'Quote Log'!$B:$B,"=LOST")</f>
        <v>0</v>
      </c>
      <c r="L63">
        <f>COUNTIFS('Quote Log'!$B:$B,"&lt;&gt;VOID",'Quote Log'!$B:$B,"&lt;&gt;Requoted",'Quote Log'!$C:$C,"&gt;="&amp;DATE(2022,2,20),'Quote Log'!$C:$C,"&lt;="&amp;DATE(2022,2,26),'Quote Log'!$V:$V,"=new")</f>
        <v>0</v>
      </c>
      <c r="M63" s="349">
        <f t="shared" si="5"/>
        <v>0</v>
      </c>
      <c r="N63" s="339" t="e">
        <f t="shared" si="26"/>
        <v>#N/A</v>
      </c>
      <c r="O63" s="351">
        <f>SUMIFS('Quote Log'!$AB:$AB,'Quote Log'!$C:$C,"&gt;="&amp;DATE(2022,2,20),'Quote Log'!$C:$C,"&lt;="&amp;DATE(2022,2,26),'Quote Log'!$B:$B,"=Purchased",'Quote Log'!$AB:$AB,"&lt;&gt;#VALUE!")</f>
        <v>0</v>
      </c>
      <c r="P63" s="351" t="e">
        <f t="shared" si="27"/>
        <v>#N/A</v>
      </c>
      <c r="Q63" s="349" t="e">
        <f t="shared" si="28"/>
        <v>#DIV/0!</v>
      </c>
      <c r="R63" s="349" t="e">
        <f t="shared" si="29"/>
        <v>#N/A</v>
      </c>
      <c r="S63" s="351">
        <f t="shared" si="33"/>
        <v>0</v>
      </c>
      <c r="T63" s="351" t="e">
        <f t="shared" si="30"/>
        <v>#N/A</v>
      </c>
      <c r="U63" s="349" t="e">
        <f t="shared" si="31"/>
        <v>#DIV/0!</v>
      </c>
      <c r="V63" s="349" t="e">
        <f t="shared" si="32"/>
        <v>#N/A</v>
      </c>
    </row>
    <row r="64" spans="1:24" x14ac:dyDescent="0.25">
      <c r="A64">
        <v>2022</v>
      </c>
      <c r="B64" s="350">
        <v>10</v>
      </c>
      <c r="C64">
        <f>COUNTIFS('Quote Log'!$B:$B,"&lt;&gt;VOID",'Quote Log'!$B:$B,"&lt;&gt;Requoted",'Quote Log'!$C:$C,"&gt;="&amp;DATE(2022,2,27),'Quote Log'!$C:$C,"&lt;="&amp;DATE(2022,3,5))</f>
        <v>0</v>
      </c>
      <c r="D64" t="e">
        <f t="shared" si="22"/>
        <v>#N/A</v>
      </c>
      <c r="E64">
        <f>COUNTIFS('Quote Log'!$B:$B,"&lt;&gt;VOID",'Quote Log'!$B:$B,"&lt;&gt;Requoted",'Quote Log'!$H:$H,"&gt;="&amp;DATE(2022,2,27),'Quote Log'!$H:$H,"&lt;="&amp;DATE(2022,3,5))</f>
        <v>0</v>
      </c>
      <c r="F64" t="e">
        <f t="shared" si="23"/>
        <v>#N/A</v>
      </c>
      <c r="G64">
        <f>COUNTIFS('Quote Log'!$C:$C,"&gt;="&amp;DATE(2022,2,27),'Quote Log'!$C:$C,"&lt;="&amp;DATE(2022,3,5),'Quote Log'!$B:$B,"=Purchased")</f>
        <v>0</v>
      </c>
      <c r="H64" t="e">
        <f t="shared" si="24"/>
        <v>#N/A</v>
      </c>
      <c r="I64" s="339">
        <f t="shared" si="3"/>
        <v>0</v>
      </c>
      <c r="J64" s="339" t="e">
        <f t="shared" si="25"/>
        <v>#N/A</v>
      </c>
      <c r="K64">
        <f>COUNTIFS('Quote Log'!$C:$C,"&gt;="&amp;DATE(2022,2,27),'Quote Log'!$C:$C,"&lt;="&amp;DATE(2022,3,5),'Quote Log'!$B:$B,"=LOST")</f>
        <v>0</v>
      </c>
      <c r="L64">
        <f>COUNTIFS('Quote Log'!$B:$B,"&lt;&gt;VOID",'Quote Log'!$B:$B,"&lt;&gt;Requoted",'Quote Log'!$C:$C,"&gt;="&amp;DATE(2022,2,27),'Quote Log'!$C:$C,"&lt;="&amp;DATE(2022,3,5),'Quote Log'!$V:$V,"=new")</f>
        <v>0</v>
      </c>
      <c r="M64" s="349">
        <f t="shared" si="5"/>
        <v>0</v>
      </c>
      <c r="N64" s="339" t="e">
        <f t="shared" si="26"/>
        <v>#N/A</v>
      </c>
      <c r="O64" s="351">
        <f>SUMIFS('Quote Log'!$AB:$AB,'Quote Log'!$C:$C,"&gt;="&amp;DATE(2022,2,27),'Quote Log'!$C:$C,"&lt;="&amp;DATE(2022,3,5),'Quote Log'!$B:$B,"=Purchased",'Quote Log'!$AB:$AB,"&lt;&gt;#VALUE!")</f>
        <v>0</v>
      </c>
      <c r="P64" s="351" t="e">
        <f t="shared" si="27"/>
        <v>#N/A</v>
      </c>
      <c r="Q64" s="349" t="e">
        <f t="shared" si="28"/>
        <v>#DIV/0!</v>
      </c>
      <c r="R64" s="349" t="e">
        <f t="shared" si="29"/>
        <v>#N/A</v>
      </c>
      <c r="S64" s="351">
        <f t="shared" si="33"/>
        <v>0</v>
      </c>
      <c r="T64" s="351" t="e">
        <f t="shared" si="30"/>
        <v>#N/A</v>
      </c>
      <c r="U64" s="349" t="e">
        <f t="shared" si="31"/>
        <v>#DIV/0!</v>
      </c>
      <c r="V64" s="349" t="e">
        <f t="shared" si="32"/>
        <v>#N/A</v>
      </c>
    </row>
    <row r="65" spans="1:22" x14ac:dyDescent="0.25">
      <c r="A65">
        <v>2022</v>
      </c>
      <c r="B65" s="350">
        <v>11</v>
      </c>
      <c r="C65">
        <f>COUNTIFS('Quote Log'!$B:$B,"&lt;&gt;VOID",'Quote Log'!$B:$B,"&lt;&gt;Requoted",'Quote Log'!$C:$C,"&gt;="&amp;DATE(2022,3,6),'Quote Log'!$C:$C,"&lt;="&amp;DATE(2022,3,12))</f>
        <v>0</v>
      </c>
      <c r="D65" t="e">
        <f t="shared" si="22"/>
        <v>#N/A</v>
      </c>
      <c r="E65">
        <f>COUNTIFS('Quote Log'!$B:$B,"&lt;&gt;VOID",'Quote Log'!$B:$B,"&lt;&gt;Requoted",'Quote Log'!$H:$H,"&gt;="&amp;DATE(2022,3,6),'Quote Log'!$H:$H,"&lt;="&amp;DATE(2022,3,12))</f>
        <v>0</v>
      </c>
      <c r="F65" t="e">
        <f t="shared" si="23"/>
        <v>#N/A</v>
      </c>
      <c r="G65">
        <f>COUNTIFS('Quote Log'!$C:$C,"&gt;="&amp;DATE(2022,3,6),'Quote Log'!$C:$C,"&lt;="&amp;DATE(2022,3,12),'Quote Log'!$B:$B,"=Purchased")</f>
        <v>0</v>
      </c>
      <c r="H65" t="e">
        <f t="shared" si="24"/>
        <v>#N/A</v>
      </c>
      <c r="I65" s="339">
        <f t="shared" si="3"/>
        <v>0</v>
      </c>
      <c r="J65" s="339" t="e">
        <f t="shared" si="25"/>
        <v>#N/A</v>
      </c>
      <c r="K65">
        <f>COUNTIFS('Quote Log'!$C:$C,"&gt;="&amp;DATE(2022,3,6),'Quote Log'!$C:$C,"&lt;="&amp;DATE(2022,3,12),'Quote Log'!$B:$B,"=LOST")</f>
        <v>0</v>
      </c>
      <c r="L65">
        <f>COUNTIFS('Quote Log'!$B:$B,"&lt;&gt;VOID",'Quote Log'!$B:$B,"&lt;&gt;Requoted",'Quote Log'!$C:$C,"&gt;="&amp;DATE(2022,3,6),'Quote Log'!$C:$C,"&lt;="&amp;DATE(2022,3,12),'Quote Log'!$V:$V,"=new")</f>
        <v>0</v>
      </c>
      <c r="M65" s="349">
        <f t="shared" si="5"/>
        <v>0</v>
      </c>
      <c r="N65" s="339" t="e">
        <f t="shared" si="26"/>
        <v>#N/A</v>
      </c>
      <c r="O65" s="351">
        <f>SUMIFS('Quote Log'!$AB:$AB,'Quote Log'!$C:$C,"&gt;="&amp;DATE(2022,3,6),'Quote Log'!$C:$C,"&lt;="&amp;DATE(2022,3,12),'Quote Log'!$B:$B,"=Purchased",'Quote Log'!$AB:$AB,"&lt;&gt;#VALUE!")</f>
        <v>0</v>
      </c>
      <c r="P65" s="351" t="e">
        <f t="shared" si="27"/>
        <v>#N/A</v>
      </c>
      <c r="Q65" s="349" t="e">
        <f t="shared" si="28"/>
        <v>#DIV/0!</v>
      </c>
      <c r="R65" s="349" t="e">
        <f t="shared" si="29"/>
        <v>#N/A</v>
      </c>
      <c r="S65" s="351">
        <f t="shared" si="33"/>
        <v>0</v>
      </c>
      <c r="T65" s="351" t="e">
        <f t="shared" si="30"/>
        <v>#N/A</v>
      </c>
      <c r="U65" s="349" t="e">
        <f t="shared" si="31"/>
        <v>#DIV/0!</v>
      </c>
      <c r="V65" s="349" t="e">
        <f t="shared" si="32"/>
        <v>#N/A</v>
      </c>
    </row>
    <row r="66" spans="1:22" x14ac:dyDescent="0.25">
      <c r="A66">
        <v>2022</v>
      </c>
      <c r="B66" s="350">
        <v>12</v>
      </c>
      <c r="C66">
        <f>COUNTIFS('Quote Log'!$B:$B,"&lt;&gt;VOID",'Quote Log'!$B:$B,"&lt;&gt;Requoted",'Quote Log'!$C:$C,"&gt;="&amp;DATE(2022,3,13),'Quote Log'!$C:$C,"&lt;="&amp;DATE(2022,3,19))</f>
        <v>0</v>
      </c>
      <c r="D66" t="e">
        <f t="shared" si="22"/>
        <v>#N/A</v>
      </c>
      <c r="E66">
        <f>COUNTIFS('Quote Log'!$B:$B,"&lt;&gt;VOID",'Quote Log'!$B:$B,"&lt;&gt;Requoted",'Quote Log'!$H:$H,"&gt;="&amp;DATE(2022,3,13),'Quote Log'!$H:$H,"&lt;="&amp;DATE(2022,3,19))</f>
        <v>0</v>
      </c>
      <c r="F66" t="e">
        <f t="shared" si="23"/>
        <v>#N/A</v>
      </c>
      <c r="G66">
        <f>COUNTIFS('Quote Log'!$C:$C,"&gt;="&amp;DATE(2022,3,13),'Quote Log'!$C:$C,"&lt;="&amp;DATE(2022,3,19),'Quote Log'!$B:$B,"=Purchased")</f>
        <v>0</v>
      </c>
      <c r="H66" t="e">
        <f t="shared" si="24"/>
        <v>#N/A</v>
      </c>
      <c r="I66" s="339">
        <f t="shared" ref="I66:I129" si="34">IF(C66&lt;&gt;0,G66/C66,0)</f>
        <v>0</v>
      </c>
      <c r="J66" s="339" t="e">
        <f t="shared" si="25"/>
        <v>#N/A</v>
      </c>
      <c r="K66">
        <f>COUNTIFS('Quote Log'!$C:$C,"&gt;="&amp;DATE(2022,3,13),'Quote Log'!$C:$C,"&lt;="&amp;DATE(2022,3,19),'Quote Log'!$B:$B,"=LOST")</f>
        <v>0</v>
      </c>
      <c r="L66">
        <f>COUNTIFS('Quote Log'!$B:$B,"&lt;&gt;VOID",'Quote Log'!$B:$B,"&lt;&gt;Requoted",'Quote Log'!$C:$C,"&gt;="&amp;DATE(2022,3,13),'Quote Log'!$C:$C,"&lt;="&amp;DATE(2022,3,19),'Quote Log'!$V:$V,"=new")</f>
        <v>0</v>
      </c>
      <c r="M66" s="349">
        <f t="shared" ref="M66:M129" si="35">IF(C66&lt;&gt;0,L66/C66,0)</f>
        <v>0</v>
      </c>
      <c r="N66" s="339" t="e">
        <f t="shared" si="26"/>
        <v>#N/A</v>
      </c>
      <c r="O66" s="351">
        <f>SUMIFS('Quote Log'!$AB:$AB,'Quote Log'!$C:$C,"&gt;="&amp;DATE(2022,3,13),'Quote Log'!$C:$C,"&lt;="&amp;DATE(2022,3,19),'Quote Log'!$B:$B,"=Purchased",'Quote Log'!$AB:$AB,"&lt;&gt;#VALUE!")</f>
        <v>0</v>
      </c>
      <c r="P66" s="351" t="e">
        <f t="shared" si="27"/>
        <v>#N/A</v>
      </c>
      <c r="Q66" s="349" t="e">
        <f t="shared" si="28"/>
        <v>#DIV/0!</v>
      </c>
      <c r="R66" s="349" t="e">
        <f t="shared" si="29"/>
        <v>#N/A</v>
      </c>
      <c r="S66" s="351">
        <f t="shared" si="33"/>
        <v>0</v>
      </c>
      <c r="T66" s="351" t="e">
        <f t="shared" si="30"/>
        <v>#N/A</v>
      </c>
      <c r="U66" s="349" t="e">
        <f t="shared" si="31"/>
        <v>#DIV/0!</v>
      </c>
      <c r="V66" s="349" t="e">
        <f t="shared" si="32"/>
        <v>#N/A</v>
      </c>
    </row>
    <row r="67" spans="1:22" x14ac:dyDescent="0.25">
      <c r="A67">
        <v>2022</v>
      </c>
      <c r="B67" s="350">
        <v>13</v>
      </c>
      <c r="C67">
        <f>COUNTIFS('Quote Log'!$B:$B,"&lt;&gt;VOID",'Quote Log'!$B:$B,"&lt;&gt;Requoted",'Quote Log'!$C:$C,"&gt;="&amp;DATE(2022,3,20),'Quote Log'!$C:$C,"&lt;="&amp;DATE(2022,3,26))</f>
        <v>0</v>
      </c>
      <c r="D67" t="e">
        <f t="shared" si="22"/>
        <v>#N/A</v>
      </c>
      <c r="E67">
        <f>COUNTIFS('Quote Log'!$B:$B,"&lt;&gt;VOID",'Quote Log'!$B:$B,"&lt;&gt;Requoted",'Quote Log'!$H:$H,"&gt;="&amp;DATE(2022,3,20),'Quote Log'!$H:$H,"&lt;="&amp;DATE(2022,3,26))</f>
        <v>0</v>
      </c>
      <c r="F67" t="e">
        <f t="shared" si="23"/>
        <v>#N/A</v>
      </c>
      <c r="G67">
        <f>COUNTIFS('Quote Log'!$C:$C,"&gt;="&amp;DATE(2022,3,20),'Quote Log'!$C:$C,"&lt;="&amp;DATE(2022,3,26),'Quote Log'!$B:$B,"=Purchased")</f>
        <v>0</v>
      </c>
      <c r="H67" t="e">
        <f t="shared" si="24"/>
        <v>#N/A</v>
      </c>
      <c r="I67" s="339">
        <f t="shared" si="34"/>
        <v>0</v>
      </c>
      <c r="J67" s="339" t="e">
        <f t="shared" si="25"/>
        <v>#N/A</v>
      </c>
      <c r="K67">
        <f>COUNTIFS('Quote Log'!$C:$C,"&gt;="&amp;DATE(2022,3,20),'Quote Log'!$C:$C,"&lt;="&amp;DATE(2022,3,26),'Quote Log'!$B:$B,"=LOST")</f>
        <v>0</v>
      </c>
      <c r="L67">
        <f>COUNTIFS('Quote Log'!$B:$B,"&lt;&gt;VOID",'Quote Log'!$B:$B,"&lt;&gt;Requoted",'Quote Log'!$C:$C,"&gt;="&amp;DATE(2022,3,20),'Quote Log'!$C:$C,"&lt;="&amp;DATE(2022,3,26),'Quote Log'!$V:$V,"=new")</f>
        <v>0</v>
      </c>
      <c r="M67" s="349">
        <f t="shared" si="35"/>
        <v>0</v>
      </c>
      <c r="N67" s="339" t="e">
        <f t="shared" si="26"/>
        <v>#N/A</v>
      </c>
      <c r="O67" s="351">
        <f>SUMIFS('Quote Log'!$AB:$AB,'Quote Log'!$C:$C,"&gt;="&amp;DATE(2022,3,20),'Quote Log'!$C:$C,"&lt;="&amp;DATE(2022,3,26),'Quote Log'!$B:$B,"=Purchased",'Quote Log'!$AB:$AB,"&lt;&gt;#VALUE!")</f>
        <v>0</v>
      </c>
      <c r="P67" s="351" t="e">
        <f t="shared" si="27"/>
        <v>#N/A</v>
      </c>
      <c r="Q67" s="349" t="e">
        <f t="shared" si="28"/>
        <v>#DIV/0!</v>
      </c>
      <c r="R67" s="349" t="e">
        <f t="shared" si="29"/>
        <v>#N/A</v>
      </c>
      <c r="S67" s="351">
        <f t="shared" si="33"/>
        <v>0</v>
      </c>
      <c r="T67" s="351" t="e">
        <f t="shared" si="30"/>
        <v>#N/A</v>
      </c>
      <c r="U67" s="349" t="e">
        <f t="shared" si="31"/>
        <v>#DIV/0!</v>
      </c>
      <c r="V67" s="349" t="e">
        <f t="shared" si="32"/>
        <v>#N/A</v>
      </c>
    </row>
    <row r="68" spans="1:22" x14ac:dyDescent="0.25">
      <c r="A68">
        <v>2022</v>
      </c>
      <c r="B68" s="350">
        <v>14</v>
      </c>
      <c r="C68">
        <f>COUNTIFS('Quote Log'!$B:$B,"&lt;&gt;VOID",'Quote Log'!$B:$B,"&lt;&gt;Requoted",'Quote Log'!$C:$C,"&gt;="&amp;DATE(2022,3,27),'Quote Log'!$C:$C,"&lt;="&amp;DATE(2022,4,2))</f>
        <v>0</v>
      </c>
      <c r="D68" t="e">
        <f t="shared" si="22"/>
        <v>#N/A</v>
      </c>
      <c r="E68">
        <f>COUNTIFS('Quote Log'!$B:$B,"&lt;&gt;VOID",'Quote Log'!$B:$B,"&lt;&gt;Requoted",'Quote Log'!$H:$H,"&gt;="&amp;DATE(2022,3,27),'Quote Log'!$H:$H,"&lt;="&amp;DATE(2022,4,2))</f>
        <v>0</v>
      </c>
      <c r="F68" t="e">
        <f t="shared" si="23"/>
        <v>#N/A</v>
      </c>
      <c r="G68">
        <f>COUNTIFS('Quote Log'!$C:$C,"&gt;="&amp;DATE(2022,3,27),'Quote Log'!$C:$C,"&lt;="&amp;DATE(2022,4,2),'Quote Log'!$B:$B,"=Purchased")</f>
        <v>0</v>
      </c>
      <c r="H68" t="e">
        <f t="shared" si="24"/>
        <v>#N/A</v>
      </c>
      <c r="I68" s="339">
        <f t="shared" si="34"/>
        <v>0</v>
      </c>
      <c r="J68" s="339" t="e">
        <f t="shared" si="25"/>
        <v>#N/A</v>
      </c>
      <c r="K68">
        <f>COUNTIFS('Quote Log'!$C:$C,"&gt;="&amp;DATE(2022,3,27),'Quote Log'!$C:$C,"&lt;="&amp;DATE(2022,4,2),'Quote Log'!$B:$B,"=LOST")</f>
        <v>0</v>
      </c>
      <c r="L68">
        <f>COUNTIFS('Quote Log'!$B:$B,"&lt;&gt;VOID",'Quote Log'!$B:$B,"&lt;&gt;Requoted",'Quote Log'!$C:$C,"&gt;="&amp;DATE(2022,3,27),'Quote Log'!$C:$C,"&lt;="&amp;DATE(2022,4,2),'Quote Log'!$V:$V,"=new")</f>
        <v>0</v>
      </c>
      <c r="M68" s="349">
        <f t="shared" si="35"/>
        <v>0</v>
      </c>
      <c r="N68" s="339" t="e">
        <f t="shared" si="26"/>
        <v>#N/A</v>
      </c>
      <c r="O68" s="351">
        <f>SUMIFS('Quote Log'!$AB:$AB,'Quote Log'!$C:$C,"&gt;="&amp;DATE(2022,3,27),'Quote Log'!$C:$C,"&lt;="&amp;DATE(2022,4,2),'Quote Log'!$B:$B,"=Purchased",'Quote Log'!$AB:$AB,"&lt;&gt;#VALUE!")</f>
        <v>0</v>
      </c>
      <c r="P68" s="351" t="e">
        <f t="shared" si="27"/>
        <v>#N/A</v>
      </c>
      <c r="Q68" s="349" t="e">
        <f t="shared" si="28"/>
        <v>#DIV/0!</v>
      </c>
      <c r="R68" s="349" t="e">
        <f t="shared" si="29"/>
        <v>#N/A</v>
      </c>
      <c r="S68" s="351">
        <f t="shared" si="33"/>
        <v>0</v>
      </c>
      <c r="T68" s="351" t="e">
        <f t="shared" si="30"/>
        <v>#N/A</v>
      </c>
      <c r="U68" s="349" t="e">
        <f t="shared" si="31"/>
        <v>#DIV/0!</v>
      </c>
      <c r="V68" s="349" t="e">
        <f t="shared" si="32"/>
        <v>#N/A</v>
      </c>
    </row>
    <row r="69" spans="1:22" x14ac:dyDescent="0.25">
      <c r="A69">
        <v>2022</v>
      </c>
      <c r="B69" s="350">
        <v>15</v>
      </c>
      <c r="C69">
        <f>COUNTIFS('Quote Log'!$B:$B,"&lt;&gt;VOID",'Quote Log'!$B:$B,"&lt;&gt;Requoted",'Quote Log'!$C:$C,"&gt;="&amp;DATE(2022,4,3),'Quote Log'!$C:$C,"&lt;="&amp;DATE(2022,4,9))</f>
        <v>0</v>
      </c>
      <c r="D69" t="e">
        <f t="shared" si="22"/>
        <v>#N/A</v>
      </c>
      <c r="E69">
        <f>COUNTIFS('Quote Log'!$B:$B,"&lt;&gt;VOID",'Quote Log'!$B:$B,"&lt;&gt;Requoted",'Quote Log'!$H:$H,"&gt;="&amp;DATE(2022,4,3),'Quote Log'!$H:$H,"&lt;="&amp;DATE(2022,4,9))</f>
        <v>0</v>
      </c>
      <c r="F69" t="e">
        <f t="shared" si="23"/>
        <v>#N/A</v>
      </c>
      <c r="G69">
        <f>COUNTIFS('Quote Log'!$C:$C,"&gt;="&amp;DATE(2022,4,3),'Quote Log'!$C:$C,"&lt;="&amp;DATE(2022,4,9),'Quote Log'!$B:$B,"=Purchased")</f>
        <v>0</v>
      </c>
      <c r="H69" t="e">
        <f t="shared" si="24"/>
        <v>#N/A</v>
      </c>
      <c r="I69" s="339">
        <f t="shared" si="34"/>
        <v>0</v>
      </c>
      <c r="J69" s="339" t="e">
        <f t="shared" si="25"/>
        <v>#N/A</v>
      </c>
      <c r="K69">
        <f>COUNTIFS('Quote Log'!$C:$C,"&gt;="&amp;DATE(2022,4,3),'Quote Log'!$C:$C,"&lt;="&amp;DATE(2022,4,9),'Quote Log'!$B:$B,"=LOST")</f>
        <v>0</v>
      </c>
      <c r="L69">
        <f>COUNTIFS('Quote Log'!$B:$B,"&lt;&gt;VOID",'Quote Log'!$B:$B,"&lt;&gt;Requoted",'Quote Log'!$C:$C,"&gt;="&amp;DATE(2022,4,3),'Quote Log'!$C:$C,"&lt;="&amp;DATE(2022,4,9),'Quote Log'!$V:$V,"=new")</f>
        <v>0</v>
      </c>
      <c r="M69" s="349">
        <f t="shared" si="35"/>
        <v>0</v>
      </c>
      <c r="N69" s="339" t="e">
        <f t="shared" si="26"/>
        <v>#N/A</v>
      </c>
      <c r="O69" s="351">
        <f>SUMIFS('Quote Log'!$AB:$AB,'Quote Log'!$C:$C,"&gt;="&amp;DATE(2022,4,3),'Quote Log'!$C:$C,"&lt;="&amp;DATE(2022,4,9),'Quote Log'!$B:$B,"=Purchased",'Quote Log'!$AB:$AB,"&lt;&gt;#VALUE!")</f>
        <v>0</v>
      </c>
      <c r="P69" s="351" t="e">
        <f t="shared" si="27"/>
        <v>#N/A</v>
      </c>
      <c r="Q69" s="349" t="e">
        <f t="shared" si="28"/>
        <v>#DIV/0!</v>
      </c>
      <c r="R69" s="349" t="e">
        <f t="shared" si="29"/>
        <v>#N/A</v>
      </c>
      <c r="S69" s="351">
        <f t="shared" si="33"/>
        <v>0</v>
      </c>
      <c r="T69" s="351" t="e">
        <f t="shared" si="30"/>
        <v>#N/A</v>
      </c>
      <c r="U69" s="349" t="e">
        <f t="shared" si="31"/>
        <v>#DIV/0!</v>
      </c>
      <c r="V69" s="349" t="e">
        <f t="shared" si="32"/>
        <v>#N/A</v>
      </c>
    </row>
    <row r="70" spans="1:22" x14ac:dyDescent="0.25">
      <c r="A70">
        <v>2022</v>
      </c>
      <c r="B70" s="350">
        <v>16</v>
      </c>
      <c r="C70">
        <f>COUNTIFS('Quote Log'!$B:$B,"&lt;&gt;VOID",'Quote Log'!$B:$B,"&lt;&gt;Requoted",'Quote Log'!$C:$C,"&gt;="&amp;DATE(2022,4,10),'Quote Log'!$C:$C,"&lt;="&amp;DATE(2022,4,16))</f>
        <v>0</v>
      </c>
      <c r="D70" t="e">
        <f t="shared" si="22"/>
        <v>#N/A</v>
      </c>
      <c r="E70">
        <f>COUNTIFS('Quote Log'!$B:$B,"&lt;&gt;VOID",'Quote Log'!$B:$B,"&lt;&gt;Requoted",'Quote Log'!$H:$H,"&gt;="&amp;DATE(2022,4,10),'Quote Log'!$H:$H,"&lt;="&amp;DATE(2022,4,16))</f>
        <v>0</v>
      </c>
      <c r="F70" t="e">
        <f t="shared" si="23"/>
        <v>#N/A</v>
      </c>
      <c r="G70">
        <f>COUNTIFS('Quote Log'!$C:$C,"&gt;="&amp;DATE(2022,4,10),'Quote Log'!$C:$C,"&lt;="&amp;DATE(2022,4,16),'Quote Log'!$B:$B,"=Purchased")</f>
        <v>0</v>
      </c>
      <c r="H70" t="e">
        <f t="shared" si="24"/>
        <v>#N/A</v>
      </c>
      <c r="I70" s="339">
        <f t="shared" si="34"/>
        <v>0</v>
      </c>
      <c r="J70" s="339" t="e">
        <f t="shared" si="25"/>
        <v>#N/A</v>
      </c>
      <c r="K70">
        <f>COUNTIFS('Quote Log'!$C:$C,"&gt;="&amp;DATE(2022,4,10),'Quote Log'!$C:$C,"&lt;="&amp;DATE(2022,4,16),'Quote Log'!$B:$B,"=LOST")</f>
        <v>0</v>
      </c>
      <c r="L70">
        <f>COUNTIFS('Quote Log'!$B:$B,"&lt;&gt;VOID",'Quote Log'!$B:$B,"&lt;&gt;Requoted",'Quote Log'!$C:$C,"&gt;="&amp;DATE(2022,4,10),'Quote Log'!$C:$C,"&lt;="&amp;DATE(2022,4,16),'Quote Log'!$V:$V,"=new")</f>
        <v>0</v>
      </c>
      <c r="M70" s="349">
        <f t="shared" si="35"/>
        <v>0</v>
      </c>
      <c r="N70" s="339" t="e">
        <f t="shared" si="26"/>
        <v>#N/A</v>
      </c>
      <c r="O70" s="351">
        <f>SUMIFS('Quote Log'!$AB:$AB,'Quote Log'!$C:$C,"&gt;="&amp;DATE(2022,4,10),'Quote Log'!$C:$C,"&lt;="&amp;DATE(2022,4,16),'Quote Log'!$B:$B,"=Purchased",'Quote Log'!$AB:$AB,"&lt;&gt;#VALUE!")</f>
        <v>0</v>
      </c>
      <c r="P70" s="351" t="e">
        <f t="shared" si="27"/>
        <v>#N/A</v>
      </c>
      <c r="Q70" s="349" t="e">
        <f t="shared" si="28"/>
        <v>#DIV/0!</v>
      </c>
      <c r="R70" s="349" t="e">
        <f t="shared" si="29"/>
        <v>#N/A</v>
      </c>
      <c r="S70" s="351">
        <f t="shared" si="33"/>
        <v>0</v>
      </c>
      <c r="T70" s="351" t="e">
        <f t="shared" si="30"/>
        <v>#N/A</v>
      </c>
      <c r="U70" s="349" t="e">
        <f t="shared" si="31"/>
        <v>#DIV/0!</v>
      </c>
      <c r="V70" s="349" t="e">
        <f t="shared" si="32"/>
        <v>#N/A</v>
      </c>
    </row>
    <row r="71" spans="1:22" x14ac:dyDescent="0.25">
      <c r="A71">
        <v>2022</v>
      </c>
      <c r="B71" s="350">
        <v>17</v>
      </c>
      <c r="C71">
        <f>COUNTIFS('Quote Log'!$B:$B,"&lt;&gt;VOID",'Quote Log'!$B:$B,"&lt;&gt;Requoted",'Quote Log'!$C:$C,"&gt;="&amp;DATE(2022,4,17),'Quote Log'!$C:$C,"&lt;="&amp;DATE(2022,4,23))</f>
        <v>0</v>
      </c>
      <c r="D71" t="e">
        <f t="shared" si="22"/>
        <v>#N/A</v>
      </c>
      <c r="E71">
        <f>COUNTIFS('Quote Log'!$B:$B,"&lt;&gt;VOID",'Quote Log'!$B:$B,"&lt;&gt;Requoted",'Quote Log'!$H:$H,"&gt;="&amp;DATE(2022,4,17),'Quote Log'!$H:$H,"&lt;="&amp;DATE(2022,4,23))</f>
        <v>0</v>
      </c>
      <c r="F71" t="e">
        <f t="shared" si="23"/>
        <v>#N/A</v>
      </c>
      <c r="G71">
        <f>COUNTIFS('Quote Log'!$C:$C,"&gt;="&amp;DATE(2022,4,17),'Quote Log'!$C:$C,"&lt;="&amp;DATE(2022,4,23),'Quote Log'!$B:$B,"=Purchased")</f>
        <v>0</v>
      </c>
      <c r="H71" t="e">
        <f t="shared" si="24"/>
        <v>#N/A</v>
      </c>
      <c r="I71" s="339">
        <f t="shared" si="34"/>
        <v>0</v>
      </c>
      <c r="J71" s="339" t="e">
        <f t="shared" si="25"/>
        <v>#N/A</v>
      </c>
      <c r="K71">
        <f>COUNTIFS('Quote Log'!$C:$C,"&gt;="&amp;DATE(2022,4,17),'Quote Log'!$C:$C,"&lt;="&amp;DATE(2022,4,23),'Quote Log'!$B:$B,"=LOST")</f>
        <v>0</v>
      </c>
      <c r="L71">
        <f>COUNTIFS('Quote Log'!$B:$B,"&lt;&gt;VOID",'Quote Log'!$B:$B,"&lt;&gt;Requoted",'Quote Log'!$C:$C,"&gt;="&amp;DATE(2022,4,17),'Quote Log'!$C:$C,"&lt;="&amp;DATE(2022,4,23),'Quote Log'!$V:$V,"=new")</f>
        <v>0</v>
      </c>
      <c r="M71" s="349">
        <f t="shared" si="35"/>
        <v>0</v>
      </c>
      <c r="N71" s="339" t="e">
        <f t="shared" si="26"/>
        <v>#N/A</v>
      </c>
      <c r="O71" s="351">
        <f>SUMIFS('Quote Log'!$AB:$AB,'Quote Log'!$C:$C,"&gt;="&amp;DATE(2022,4,17),'Quote Log'!$C:$C,"&lt;="&amp;DATE(2022,4,23),'Quote Log'!$B:$B,"=Purchased",'Quote Log'!$AB:$AB,"&lt;&gt;#VALUE!")</f>
        <v>0</v>
      </c>
      <c r="P71" s="351" t="e">
        <f t="shared" si="27"/>
        <v>#N/A</v>
      </c>
      <c r="Q71" s="349" t="e">
        <f t="shared" si="28"/>
        <v>#DIV/0!</v>
      </c>
      <c r="R71" s="349" t="e">
        <f t="shared" si="29"/>
        <v>#N/A</v>
      </c>
      <c r="S71" s="351">
        <f t="shared" si="33"/>
        <v>0</v>
      </c>
      <c r="T71" s="351" t="e">
        <f t="shared" si="30"/>
        <v>#N/A</v>
      </c>
      <c r="U71" s="349" t="e">
        <f t="shared" si="31"/>
        <v>#DIV/0!</v>
      </c>
      <c r="V71" s="349" t="e">
        <f t="shared" si="32"/>
        <v>#N/A</v>
      </c>
    </row>
    <row r="72" spans="1:22" x14ac:dyDescent="0.25">
      <c r="A72">
        <v>2022</v>
      </c>
      <c r="B72" s="350">
        <v>18</v>
      </c>
      <c r="C72">
        <f>COUNTIFS('Quote Log'!$B:$B,"&lt;&gt;VOID",'Quote Log'!$B:$B,"&lt;&gt;Requoted",'Quote Log'!$C:$C,"&gt;="&amp;DATE(2022,4,24),'Quote Log'!$C:$C,"&lt;="&amp;DATE(2022,4,30))</f>
        <v>0</v>
      </c>
      <c r="D72" t="e">
        <f t="shared" si="22"/>
        <v>#N/A</v>
      </c>
      <c r="E72">
        <f>COUNTIFS('Quote Log'!$B:$B,"&lt;&gt;VOID",'Quote Log'!$B:$B,"&lt;&gt;Requoted",'Quote Log'!$H:$H,"&gt;="&amp;DATE(2022,4,24),'Quote Log'!$H:$H,"&lt;="&amp;DATE(2022,4,30))</f>
        <v>0</v>
      </c>
      <c r="F72" t="e">
        <f t="shared" si="23"/>
        <v>#N/A</v>
      </c>
      <c r="G72">
        <f>COUNTIFS('Quote Log'!$C:$C,"&gt;="&amp;DATE(2022,4,24),'Quote Log'!$C:$C,"&lt;="&amp;DATE(2022,4,30),'Quote Log'!$B:$B,"=Purchased")</f>
        <v>0</v>
      </c>
      <c r="H72" t="e">
        <f t="shared" si="24"/>
        <v>#N/A</v>
      </c>
      <c r="I72" s="339">
        <f t="shared" si="34"/>
        <v>0</v>
      </c>
      <c r="J72" s="339" t="e">
        <f t="shared" si="25"/>
        <v>#N/A</v>
      </c>
      <c r="K72">
        <f>COUNTIFS('Quote Log'!$C:$C,"&gt;="&amp;DATE(2022,4,24),'Quote Log'!$C:$C,"&lt;="&amp;DATE(2022,4,30),'Quote Log'!$B:$B,"=LOST")</f>
        <v>0</v>
      </c>
      <c r="L72">
        <f>COUNTIFS('Quote Log'!$B:$B,"&lt;&gt;VOID",'Quote Log'!$B:$B,"&lt;&gt;Requoted",'Quote Log'!$C:$C,"&gt;="&amp;DATE(2022,4,24),'Quote Log'!$C:$C,"&lt;="&amp;DATE(2022,4,30),'Quote Log'!$V:$V,"=new")</f>
        <v>0</v>
      </c>
      <c r="M72" s="349">
        <f t="shared" si="35"/>
        <v>0</v>
      </c>
      <c r="N72" s="339" t="e">
        <f t="shared" si="26"/>
        <v>#N/A</v>
      </c>
      <c r="O72" s="351">
        <f>SUMIFS('Quote Log'!$AB:$AB,'Quote Log'!$C:$C,"&gt;="&amp;DATE(2022,4,24),'Quote Log'!$C:$C,"&lt;="&amp;DATE(2022,4,30),'Quote Log'!$B:$B,"=Purchased",'Quote Log'!$AB:$AB,"&lt;&gt;#VALUE!")</f>
        <v>0</v>
      </c>
      <c r="P72" s="351" t="e">
        <f t="shared" si="27"/>
        <v>#N/A</v>
      </c>
      <c r="Q72" s="349" t="e">
        <f t="shared" si="28"/>
        <v>#DIV/0!</v>
      </c>
      <c r="R72" s="349" t="e">
        <f t="shared" si="29"/>
        <v>#N/A</v>
      </c>
      <c r="S72" s="351">
        <f t="shared" si="33"/>
        <v>0</v>
      </c>
      <c r="T72" s="351" t="e">
        <f t="shared" si="30"/>
        <v>#N/A</v>
      </c>
      <c r="U72" s="349" t="e">
        <f t="shared" si="31"/>
        <v>#DIV/0!</v>
      </c>
      <c r="V72" s="349" t="e">
        <f t="shared" si="32"/>
        <v>#N/A</v>
      </c>
    </row>
    <row r="73" spans="1:22" x14ac:dyDescent="0.25">
      <c r="A73">
        <v>2022</v>
      </c>
      <c r="B73" s="350">
        <v>19</v>
      </c>
      <c r="C73">
        <f>COUNTIFS('Quote Log'!$B:$B,"&lt;&gt;VOID",'Quote Log'!$B:$B,"&lt;&gt;Requoted",'Quote Log'!$C:$C,"&gt;="&amp;DATE(2022,5,1),'Quote Log'!$C:$C,"&lt;="&amp;DATE(2022,5,7))</f>
        <v>0</v>
      </c>
      <c r="D73" t="e">
        <f t="shared" si="22"/>
        <v>#N/A</v>
      </c>
      <c r="E73">
        <f>COUNTIFS('Quote Log'!$B:$B,"&lt;&gt;VOID",'Quote Log'!$B:$B,"&lt;&gt;Requoted",'Quote Log'!$H:$H,"&gt;="&amp;DATE(2022,5,1),'Quote Log'!$H:$H,"&lt;="&amp;DATE(2022,5,7))</f>
        <v>0</v>
      </c>
      <c r="F73" t="e">
        <f t="shared" si="23"/>
        <v>#N/A</v>
      </c>
      <c r="G73">
        <f>COUNTIFS('Quote Log'!$C:$C,"&gt;="&amp;DATE(2022,5,1),'Quote Log'!$C:$C,"&lt;="&amp;DATE(2022,5,7),'Quote Log'!$B:$B,"=Purchased")</f>
        <v>0</v>
      </c>
      <c r="H73" t="e">
        <f t="shared" si="24"/>
        <v>#N/A</v>
      </c>
      <c r="I73" s="339">
        <f t="shared" si="34"/>
        <v>0</v>
      </c>
      <c r="J73" s="339" t="e">
        <f t="shared" si="25"/>
        <v>#N/A</v>
      </c>
      <c r="K73">
        <f>COUNTIFS('Quote Log'!$C:$C,"&gt;="&amp;DATE(2022,5,1),'Quote Log'!$C:$C,"&lt;="&amp;DATE(2022,5,7),'Quote Log'!$B:$B,"=LOST")</f>
        <v>0</v>
      </c>
      <c r="L73">
        <f>COUNTIFS('Quote Log'!$B:$B,"&lt;&gt;VOID",'Quote Log'!$B:$B,"&lt;&gt;Requoted",'Quote Log'!$C:$C,"&gt;="&amp;DATE(2022,5,1),'Quote Log'!$C:$C,"&lt;="&amp;DATE(2022,5,7),'Quote Log'!$V:$V,"=new")</f>
        <v>0</v>
      </c>
      <c r="M73" s="349">
        <f t="shared" si="35"/>
        <v>0</v>
      </c>
      <c r="N73" s="339" t="e">
        <f t="shared" si="26"/>
        <v>#N/A</v>
      </c>
      <c r="O73" s="351">
        <f>SUMIFS('Quote Log'!$AB:$AB,'Quote Log'!$C:$C,"&gt;="&amp;DATE(2022,5,1),'Quote Log'!$C:$C,"&lt;="&amp;DATE(2022,5,7),'Quote Log'!$B:$B,"=Purchased",'Quote Log'!$AB:$AB,"&lt;&gt;#VALUE!")</f>
        <v>0</v>
      </c>
      <c r="P73" s="351" t="e">
        <f t="shared" si="27"/>
        <v>#N/A</v>
      </c>
      <c r="Q73" s="349" t="e">
        <f t="shared" si="28"/>
        <v>#DIV/0!</v>
      </c>
      <c r="R73" s="349" t="e">
        <f t="shared" si="29"/>
        <v>#N/A</v>
      </c>
      <c r="S73" s="351">
        <f t="shared" si="33"/>
        <v>0</v>
      </c>
      <c r="T73" s="351" t="e">
        <f t="shared" si="30"/>
        <v>#N/A</v>
      </c>
      <c r="U73" s="349" t="e">
        <f t="shared" si="31"/>
        <v>#DIV/0!</v>
      </c>
      <c r="V73" s="349" t="e">
        <f t="shared" si="32"/>
        <v>#N/A</v>
      </c>
    </row>
    <row r="74" spans="1:22" x14ac:dyDescent="0.25">
      <c r="A74">
        <v>2022</v>
      </c>
      <c r="B74" s="350">
        <v>20</v>
      </c>
      <c r="C74">
        <f>COUNTIFS('Quote Log'!$B:$B,"&lt;&gt;VOID",'Quote Log'!$B:$B,"&lt;&gt;Requoted",'Quote Log'!$C:$C,"&gt;="&amp;DATE(2022,5,8),'Quote Log'!$C:$C,"&lt;="&amp;DATE(2022,5,14))</f>
        <v>0</v>
      </c>
      <c r="D74" t="e">
        <f t="shared" si="22"/>
        <v>#N/A</v>
      </c>
      <c r="E74">
        <f>COUNTIFS('Quote Log'!$B:$B,"&lt;&gt;VOID",'Quote Log'!$B:$B,"&lt;&gt;Requoted",'Quote Log'!$H:$H,"&gt;="&amp;DATE(2022,5,8),'Quote Log'!$H:$H,"&lt;="&amp;DATE(2022,5,14))</f>
        <v>0</v>
      </c>
      <c r="F74" t="e">
        <f t="shared" si="23"/>
        <v>#N/A</v>
      </c>
      <c r="G74">
        <f>COUNTIFS('Quote Log'!$C:$C,"&gt;="&amp;DATE(2022,5,8),'Quote Log'!$C:$C,"&lt;="&amp;DATE(2022,5,14),'Quote Log'!$B:$B,"=Purchased")</f>
        <v>0</v>
      </c>
      <c r="H74" t="e">
        <f t="shared" si="24"/>
        <v>#N/A</v>
      </c>
      <c r="I74" s="339">
        <f t="shared" si="34"/>
        <v>0</v>
      </c>
      <c r="J74" s="339" t="e">
        <f t="shared" si="25"/>
        <v>#N/A</v>
      </c>
      <c r="K74">
        <f>COUNTIFS('Quote Log'!$C:$C,"&gt;="&amp;DATE(2022,5,8),'Quote Log'!$C:$C,"&lt;="&amp;DATE(2022,5,14),'Quote Log'!$B:$B,"=LOST")</f>
        <v>0</v>
      </c>
      <c r="L74">
        <f>COUNTIFS('Quote Log'!$B:$B,"&lt;&gt;VOID",'Quote Log'!$B:$B,"&lt;&gt;Requoted",'Quote Log'!$C:$C,"&gt;="&amp;DATE(2022,5,8),'Quote Log'!$C:$C,"&lt;="&amp;DATE(2022,5,14),'Quote Log'!$V:$V,"=new")</f>
        <v>0</v>
      </c>
      <c r="M74" s="349">
        <f t="shared" si="35"/>
        <v>0</v>
      </c>
      <c r="N74" s="339" t="e">
        <f t="shared" si="26"/>
        <v>#N/A</v>
      </c>
      <c r="O74" s="351">
        <f>SUMIFS('Quote Log'!$AB:$AB,'Quote Log'!$C:$C,"&gt;="&amp;DATE(2022,5,8),'Quote Log'!$C:$C,"&lt;="&amp;DATE(2022,5,14),'Quote Log'!$B:$B,"=Purchased",'Quote Log'!$AB:$AB,"&lt;&gt;#VALUE!")</f>
        <v>0</v>
      </c>
      <c r="P74" s="351" t="e">
        <f t="shared" si="27"/>
        <v>#N/A</v>
      </c>
      <c r="Q74" s="349" t="e">
        <f t="shared" si="28"/>
        <v>#DIV/0!</v>
      </c>
      <c r="R74" s="349" t="e">
        <f t="shared" si="29"/>
        <v>#N/A</v>
      </c>
      <c r="S74" s="351">
        <f t="shared" si="33"/>
        <v>0</v>
      </c>
      <c r="T74" s="351" t="e">
        <f t="shared" si="30"/>
        <v>#N/A</v>
      </c>
      <c r="U74" s="349" t="e">
        <f t="shared" si="31"/>
        <v>#DIV/0!</v>
      </c>
      <c r="V74" s="349" t="e">
        <f t="shared" si="32"/>
        <v>#N/A</v>
      </c>
    </row>
    <row r="75" spans="1:22" x14ac:dyDescent="0.25">
      <c r="A75">
        <v>2022</v>
      </c>
      <c r="B75" s="350">
        <v>21</v>
      </c>
      <c r="C75">
        <f>COUNTIFS('Quote Log'!$B:$B,"&lt;&gt;VOID",'Quote Log'!$B:$B,"&lt;&gt;Requoted",'Quote Log'!$C:$C,"&gt;="&amp;DATE(2022,5,15),'Quote Log'!$C:$C,"&lt;="&amp;DATE(2022,5,21))</f>
        <v>0</v>
      </c>
      <c r="D75" t="e">
        <f t="shared" si="22"/>
        <v>#N/A</v>
      </c>
      <c r="E75">
        <f>COUNTIFS('Quote Log'!$B:$B,"&lt;&gt;VOID",'Quote Log'!$B:$B,"&lt;&gt;Requoted",'Quote Log'!$H:$H,"&gt;="&amp;DATE(2022,5,15),'Quote Log'!$H:$H,"&lt;="&amp;DATE(2022,5,21))</f>
        <v>0</v>
      </c>
      <c r="F75" t="e">
        <f t="shared" si="23"/>
        <v>#N/A</v>
      </c>
      <c r="G75">
        <f>COUNTIFS('Quote Log'!$C:$C,"&gt;="&amp;DATE(2022,5,15),'Quote Log'!$C:$C,"&lt;="&amp;DATE(2022,5,21),'Quote Log'!$B:$B,"=Purchased")</f>
        <v>0</v>
      </c>
      <c r="H75" t="e">
        <f t="shared" si="24"/>
        <v>#N/A</v>
      </c>
      <c r="I75" s="339">
        <f t="shared" si="34"/>
        <v>0</v>
      </c>
      <c r="J75" s="339" t="e">
        <f t="shared" si="25"/>
        <v>#N/A</v>
      </c>
      <c r="K75">
        <f>COUNTIFS('Quote Log'!$C:$C,"&gt;="&amp;DATE(2022,5,15),'Quote Log'!$C:$C,"&lt;="&amp;DATE(2022,5,21),'Quote Log'!$B:$B,"=LOST")</f>
        <v>0</v>
      </c>
      <c r="L75">
        <f>COUNTIFS('Quote Log'!$B:$B,"&lt;&gt;VOID",'Quote Log'!$B:$B,"&lt;&gt;Requoted",'Quote Log'!$C:$C,"&gt;="&amp;DATE(2022,5,15),'Quote Log'!$C:$C,"&lt;="&amp;DATE(2022,5,21),'Quote Log'!$V:$V,"=new")</f>
        <v>0</v>
      </c>
      <c r="M75" s="349">
        <f t="shared" si="35"/>
        <v>0</v>
      </c>
      <c r="N75" s="339" t="e">
        <f t="shared" si="26"/>
        <v>#N/A</v>
      </c>
      <c r="O75" s="351">
        <f>SUMIFS('Quote Log'!$AB:$AB,'Quote Log'!$C:$C,"&gt;="&amp;DATE(2022,5,15),'Quote Log'!$C:$C,"&lt;="&amp;DATE(2022,5,21),'Quote Log'!$B:$B,"=Purchased",'Quote Log'!$AB:$AB,"&lt;&gt;#VALUE!")</f>
        <v>0</v>
      </c>
      <c r="P75" s="351" t="e">
        <f t="shared" si="27"/>
        <v>#N/A</v>
      </c>
      <c r="Q75" s="349" t="e">
        <f t="shared" si="28"/>
        <v>#DIV/0!</v>
      </c>
      <c r="R75" s="349" t="e">
        <f t="shared" si="29"/>
        <v>#N/A</v>
      </c>
      <c r="S75" s="351">
        <f t="shared" si="33"/>
        <v>0</v>
      </c>
      <c r="T75" s="351" t="e">
        <f t="shared" si="30"/>
        <v>#N/A</v>
      </c>
      <c r="U75" s="349" t="e">
        <f t="shared" si="31"/>
        <v>#DIV/0!</v>
      </c>
      <c r="V75" s="349" t="e">
        <f t="shared" si="32"/>
        <v>#N/A</v>
      </c>
    </row>
    <row r="76" spans="1:22" x14ac:dyDescent="0.25">
      <c r="A76">
        <v>2022</v>
      </c>
      <c r="B76" s="350">
        <v>22</v>
      </c>
      <c r="C76">
        <f>COUNTIFS('Quote Log'!$B:$B,"&lt;&gt;VOID",'Quote Log'!$B:$B,"&lt;&gt;Requoted",'Quote Log'!$C:$C,"&gt;="&amp;DATE(2022,5,22),'Quote Log'!$C:$C,"&lt;="&amp;DATE(2022,5,28))</f>
        <v>0</v>
      </c>
      <c r="D76" t="e">
        <f t="shared" si="22"/>
        <v>#N/A</v>
      </c>
      <c r="E76">
        <f>COUNTIFS('Quote Log'!$B:$B,"&lt;&gt;VOID",'Quote Log'!$B:$B,"&lt;&gt;Requoted",'Quote Log'!$H:$H,"&gt;="&amp;DATE(2022,5,22),'Quote Log'!$H:$H,"&lt;="&amp;DATE(2022,5,28))</f>
        <v>0</v>
      </c>
      <c r="F76" t="e">
        <f t="shared" si="23"/>
        <v>#N/A</v>
      </c>
      <c r="G76">
        <f>COUNTIFS('Quote Log'!$C:$C,"&gt;="&amp;DATE(2022,5,22),'Quote Log'!$C:$C,"&lt;="&amp;DATE(2022,5,28),'Quote Log'!$B:$B,"=Purchased")</f>
        <v>0</v>
      </c>
      <c r="H76" t="e">
        <f t="shared" si="24"/>
        <v>#N/A</v>
      </c>
      <c r="I76" s="339">
        <f t="shared" si="34"/>
        <v>0</v>
      </c>
      <c r="J76" s="339" t="e">
        <f t="shared" si="25"/>
        <v>#N/A</v>
      </c>
      <c r="K76">
        <f>COUNTIFS('Quote Log'!$C:$C,"&gt;="&amp;DATE(2022,5,22),'Quote Log'!$C:$C,"&lt;="&amp;DATE(2022,5,28),'Quote Log'!$B:$B,"=LOST")</f>
        <v>0</v>
      </c>
      <c r="L76">
        <f>COUNTIFS('Quote Log'!$B:$B,"&lt;&gt;VOID",'Quote Log'!$B:$B,"&lt;&gt;Requoted",'Quote Log'!$C:$C,"&gt;="&amp;DATE(2022,5,22),'Quote Log'!$C:$C,"&lt;="&amp;DATE(2022,5,28),'Quote Log'!$V:$V,"=new")</f>
        <v>0</v>
      </c>
      <c r="M76" s="349">
        <f t="shared" si="35"/>
        <v>0</v>
      </c>
      <c r="N76" s="339" t="e">
        <f t="shared" si="26"/>
        <v>#N/A</v>
      </c>
      <c r="O76" s="351">
        <f>SUMIFS('Quote Log'!$AB:$AB,'Quote Log'!$C:$C,"&gt;="&amp;DATE(2022,5,22),'Quote Log'!$C:$C,"&lt;="&amp;DATE(2022,5,28),'Quote Log'!$B:$B,"=Purchased",'Quote Log'!$AB:$AB,"&lt;&gt;#VALUE!")</f>
        <v>0</v>
      </c>
      <c r="P76" s="351" t="e">
        <f t="shared" si="27"/>
        <v>#N/A</v>
      </c>
      <c r="Q76" s="349" t="e">
        <f t="shared" si="28"/>
        <v>#DIV/0!</v>
      </c>
      <c r="R76" s="349" t="e">
        <f t="shared" si="29"/>
        <v>#N/A</v>
      </c>
      <c r="S76" s="351">
        <f t="shared" si="33"/>
        <v>0</v>
      </c>
      <c r="T76" s="351" t="e">
        <f t="shared" si="30"/>
        <v>#N/A</v>
      </c>
      <c r="U76" s="349" t="e">
        <f t="shared" si="31"/>
        <v>#DIV/0!</v>
      </c>
      <c r="V76" s="349" t="e">
        <f t="shared" si="32"/>
        <v>#N/A</v>
      </c>
    </row>
    <row r="77" spans="1:22" x14ac:dyDescent="0.25">
      <c r="A77">
        <v>2022</v>
      </c>
      <c r="B77" s="350">
        <v>23</v>
      </c>
      <c r="C77">
        <f>COUNTIFS('Quote Log'!$B:$B,"&lt;&gt;VOID",'Quote Log'!$B:$B,"&lt;&gt;Requoted",'Quote Log'!$C:$C,"&gt;="&amp;DATE(2022,5,29),'Quote Log'!$C:$C,"&lt;="&amp;DATE(2022,6,4))</f>
        <v>0</v>
      </c>
      <c r="D77" t="e">
        <f t="shared" si="22"/>
        <v>#N/A</v>
      </c>
      <c r="E77">
        <f>COUNTIFS('Quote Log'!$B:$B,"&lt;&gt;VOID",'Quote Log'!$B:$B,"&lt;&gt;Requoted",'Quote Log'!$H:$H,"&gt;="&amp;DATE(2022,5,29),'Quote Log'!$H:$H,"&lt;="&amp;DATE(2022,6,4))</f>
        <v>0</v>
      </c>
      <c r="F77" t="e">
        <f t="shared" si="23"/>
        <v>#N/A</v>
      </c>
      <c r="G77">
        <f>COUNTIFS('Quote Log'!$C:$C,"&gt;="&amp;DATE(2022,5,29),'Quote Log'!$C:$C,"&lt;="&amp;DATE(2022,6,4),'Quote Log'!$B:$B,"=Purchased")</f>
        <v>0</v>
      </c>
      <c r="H77" t="e">
        <f t="shared" si="24"/>
        <v>#N/A</v>
      </c>
      <c r="I77" s="339">
        <f t="shared" si="34"/>
        <v>0</v>
      </c>
      <c r="J77" s="339" t="e">
        <f t="shared" si="25"/>
        <v>#N/A</v>
      </c>
      <c r="K77">
        <f>COUNTIFS('Quote Log'!$C:$C,"&gt;="&amp;DATE(2022,5,29),'Quote Log'!$C:$C,"&lt;="&amp;DATE(2022,6,4),'Quote Log'!$B:$B,"=LOST")</f>
        <v>0</v>
      </c>
      <c r="L77">
        <f>COUNTIFS('Quote Log'!$B:$B,"&lt;&gt;VOID",'Quote Log'!$B:$B,"&lt;&gt;Requoted",'Quote Log'!$C:$C,"&gt;="&amp;DATE(2022,5,29),'Quote Log'!$C:$C,"&lt;="&amp;DATE(2022,6,4),'Quote Log'!$V:$V,"=new")</f>
        <v>0</v>
      </c>
      <c r="M77" s="349">
        <f t="shared" si="35"/>
        <v>0</v>
      </c>
      <c r="N77" s="339" t="e">
        <f t="shared" si="26"/>
        <v>#N/A</v>
      </c>
      <c r="O77" s="351">
        <f>SUMIFS('Quote Log'!$AB:$AB,'Quote Log'!$C:$C,"&gt;="&amp;DATE(2022,5,29),'Quote Log'!$C:$C,"&lt;="&amp;DATE(2022,6,4),'Quote Log'!$B:$B,"=Purchased",'Quote Log'!$AB:$AB,"&lt;&gt;#VALUE!")</f>
        <v>0</v>
      </c>
      <c r="P77" s="351" t="e">
        <f t="shared" si="27"/>
        <v>#N/A</v>
      </c>
      <c r="Q77" s="349" t="e">
        <f t="shared" si="28"/>
        <v>#DIV/0!</v>
      </c>
      <c r="R77" s="349" t="e">
        <f t="shared" si="29"/>
        <v>#N/A</v>
      </c>
      <c r="S77" s="351">
        <f t="shared" si="33"/>
        <v>0</v>
      </c>
      <c r="T77" s="351" t="e">
        <f t="shared" si="30"/>
        <v>#N/A</v>
      </c>
      <c r="U77" s="349" t="e">
        <f t="shared" si="31"/>
        <v>#DIV/0!</v>
      </c>
      <c r="V77" s="349" t="e">
        <f t="shared" si="32"/>
        <v>#N/A</v>
      </c>
    </row>
    <row r="78" spans="1:22" x14ac:dyDescent="0.25">
      <c r="A78">
        <v>2022</v>
      </c>
      <c r="B78" s="350">
        <v>24</v>
      </c>
      <c r="C78">
        <f>COUNTIFS('Quote Log'!$B:$B,"&lt;&gt;VOID",'Quote Log'!$B:$B,"&lt;&gt;Requoted",'Quote Log'!$C:$C,"&gt;="&amp;DATE(2022,6,5),'Quote Log'!$C:$C,"&lt;="&amp;DATE(2022,6,11))</f>
        <v>0</v>
      </c>
      <c r="D78" t="e">
        <f t="shared" si="22"/>
        <v>#N/A</v>
      </c>
      <c r="E78">
        <f>COUNTIFS('Quote Log'!$B:$B,"&lt;&gt;VOID",'Quote Log'!$B:$B,"&lt;&gt;Requoted",'Quote Log'!$H:$H,"&gt;="&amp;DATE(2022,6,5),'Quote Log'!$H:$H,"&lt;="&amp;DATE(2022,6,11))</f>
        <v>0</v>
      </c>
      <c r="F78" t="e">
        <f t="shared" si="23"/>
        <v>#N/A</v>
      </c>
      <c r="G78">
        <f>COUNTIFS('Quote Log'!$C:$C,"&gt;="&amp;DATE(2022,6,5),'Quote Log'!$C:$C,"&lt;="&amp;DATE(2022,6,11),'Quote Log'!$B:$B,"=Purchased")</f>
        <v>0</v>
      </c>
      <c r="H78" t="e">
        <f t="shared" si="24"/>
        <v>#N/A</v>
      </c>
      <c r="I78" s="339">
        <f t="shared" si="34"/>
        <v>0</v>
      </c>
      <c r="J78" s="339" t="e">
        <f t="shared" si="25"/>
        <v>#N/A</v>
      </c>
      <c r="K78">
        <f>COUNTIFS('Quote Log'!$C:$C,"&gt;="&amp;DATE(2022,6,5),'Quote Log'!$C:$C,"&lt;="&amp;DATE(2022,6,11),'Quote Log'!$B:$B,"=LOST")</f>
        <v>0</v>
      </c>
      <c r="L78">
        <f>COUNTIFS('Quote Log'!$B:$B,"&lt;&gt;VOID",'Quote Log'!$B:$B,"&lt;&gt;Requoted",'Quote Log'!$C:$C,"&gt;="&amp;DATE(2022,6,5),'Quote Log'!$C:$C,"&lt;="&amp;DATE(2022,6,11),'Quote Log'!$V:$V,"=new")</f>
        <v>0</v>
      </c>
      <c r="M78" s="349">
        <f t="shared" si="35"/>
        <v>0</v>
      </c>
      <c r="N78" s="339" t="e">
        <f t="shared" si="26"/>
        <v>#N/A</v>
      </c>
      <c r="O78" s="351">
        <f>SUMIFS('Quote Log'!$AB:$AB,'Quote Log'!$C:$C,"&gt;="&amp;DATE(2022,6,5),'Quote Log'!$C:$C,"&lt;="&amp;DATE(2022,6,11),'Quote Log'!$B:$B,"=Purchased",'Quote Log'!$AB:$AB,"&lt;&gt;#VALUE!")</f>
        <v>0</v>
      </c>
      <c r="P78" s="351" t="e">
        <f t="shared" si="27"/>
        <v>#N/A</v>
      </c>
      <c r="Q78" s="349" t="e">
        <f t="shared" si="28"/>
        <v>#DIV/0!</v>
      </c>
      <c r="R78" s="349" t="e">
        <f t="shared" si="29"/>
        <v>#N/A</v>
      </c>
      <c r="S78" s="351">
        <f t="shared" si="33"/>
        <v>0</v>
      </c>
      <c r="T78" s="351" t="e">
        <f t="shared" si="30"/>
        <v>#N/A</v>
      </c>
      <c r="U78" s="349" t="e">
        <f t="shared" si="31"/>
        <v>#DIV/0!</v>
      </c>
      <c r="V78" s="349" t="e">
        <f t="shared" si="32"/>
        <v>#N/A</v>
      </c>
    </row>
    <row r="79" spans="1:22" x14ac:dyDescent="0.25">
      <c r="A79">
        <v>2022</v>
      </c>
      <c r="B79" s="350">
        <v>25</v>
      </c>
      <c r="C79">
        <f>COUNTIFS('Quote Log'!$B:$B,"&lt;&gt;VOID",'Quote Log'!$B:$B,"&lt;&gt;Requoted",'Quote Log'!$C:$C,"&gt;="&amp;DATE(2022,6,12),'Quote Log'!$C:$C,"&lt;="&amp;DATE(2022,6,18))</f>
        <v>0</v>
      </c>
      <c r="D79" t="e">
        <f t="shared" si="22"/>
        <v>#N/A</v>
      </c>
      <c r="E79">
        <f>COUNTIFS('Quote Log'!$B:$B,"&lt;&gt;VOID",'Quote Log'!$B:$B,"&lt;&gt;Requoted",'Quote Log'!$H:$H,"&gt;="&amp;DATE(2022,6,12),'Quote Log'!$H:$H,"&lt;="&amp;DATE(2022,6,18))</f>
        <v>0</v>
      </c>
      <c r="F79" t="e">
        <f t="shared" si="23"/>
        <v>#N/A</v>
      </c>
      <c r="G79">
        <f>COUNTIFS('Quote Log'!$C:$C,"&gt;="&amp;DATE(2022,6,12),'Quote Log'!$C:$C,"&lt;="&amp;DATE(2022,6,18),'Quote Log'!$B:$B,"=Purchased")</f>
        <v>0</v>
      </c>
      <c r="H79" t="e">
        <f t="shared" si="24"/>
        <v>#N/A</v>
      </c>
      <c r="I79" s="339">
        <f t="shared" si="34"/>
        <v>0</v>
      </c>
      <c r="J79" s="339" t="e">
        <f t="shared" si="25"/>
        <v>#N/A</v>
      </c>
      <c r="K79">
        <f>COUNTIFS('Quote Log'!$C:$C,"&gt;="&amp;DATE(2022,6,12),'Quote Log'!$C:$C,"&lt;="&amp;DATE(2022,6,18),'Quote Log'!$B:$B,"=LOST")</f>
        <v>0</v>
      </c>
      <c r="L79">
        <f>COUNTIFS('Quote Log'!$B:$B,"&lt;&gt;VOID",'Quote Log'!$B:$B,"&lt;&gt;Requoted",'Quote Log'!$C:$C,"&gt;="&amp;DATE(2022,6,12),'Quote Log'!$C:$C,"&lt;="&amp;DATE(2022,6,18),'Quote Log'!$V:$V,"=new")</f>
        <v>0</v>
      </c>
      <c r="M79" s="349">
        <f t="shared" si="35"/>
        <v>0</v>
      </c>
      <c r="N79" s="339" t="e">
        <f t="shared" si="26"/>
        <v>#N/A</v>
      </c>
      <c r="O79" s="351">
        <f>SUMIFS('Quote Log'!$AB:$AB,'Quote Log'!$C:$C,"&gt;="&amp;DATE(2022,6,12),'Quote Log'!$C:$C,"&lt;="&amp;DATE(2022,6,18),'Quote Log'!$B:$B,"=Purchased",'Quote Log'!$AB:$AB,"&lt;&gt;#VALUE!")</f>
        <v>0</v>
      </c>
      <c r="P79" s="351" t="e">
        <f t="shared" si="27"/>
        <v>#N/A</v>
      </c>
      <c r="Q79" s="349" t="e">
        <f t="shared" si="28"/>
        <v>#DIV/0!</v>
      </c>
      <c r="R79" s="349" t="e">
        <f t="shared" si="29"/>
        <v>#N/A</v>
      </c>
      <c r="S79" s="351">
        <f t="shared" si="33"/>
        <v>0</v>
      </c>
      <c r="T79" s="351" t="e">
        <f t="shared" si="30"/>
        <v>#N/A</v>
      </c>
      <c r="U79" s="349" t="e">
        <f t="shared" si="31"/>
        <v>#DIV/0!</v>
      </c>
      <c r="V79" s="349" t="e">
        <f t="shared" si="32"/>
        <v>#N/A</v>
      </c>
    </row>
    <row r="80" spans="1:22" x14ac:dyDescent="0.25">
      <c r="A80">
        <v>2022</v>
      </c>
      <c r="B80" s="350">
        <v>26</v>
      </c>
      <c r="C80">
        <f>COUNTIFS('Quote Log'!$B:$B,"&lt;&gt;VOID",'Quote Log'!$B:$B,"&lt;&gt;Requoted",'Quote Log'!$C:$C,"&gt;="&amp;DATE(2022,6,19),'Quote Log'!$C:$C,"&lt;="&amp;DATE(2022,6,25))</f>
        <v>0</v>
      </c>
      <c r="D80" t="e">
        <f t="shared" si="22"/>
        <v>#N/A</v>
      </c>
      <c r="E80">
        <f>COUNTIFS('Quote Log'!$B:$B,"&lt;&gt;VOID",'Quote Log'!$B:$B,"&lt;&gt;Requoted",'Quote Log'!$H:$H,"&gt;="&amp;DATE(2022,6,19),'Quote Log'!$H:$H,"&lt;="&amp;DATE(2022,6,25))</f>
        <v>0</v>
      </c>
      <c r="F80" t="e">
        <f t="shared" si="23"/>
        <v>#N/A</v>
      </c>
      <c r="G80">
        <f>COUNTIFS('Quote Log'!$C:$C,"&gt;="&amp;DATE(2022,6,19),'Quote Log'!$C:$C,"&lt;="&amp;DATE(2022,6,25),'Quote Log'!$B:$B,"=Purchased")</f>
        <v>0</v>
      </c>
      <c r="H80" t="e">
        <f t="shared" si="24"/>
        <v>#N/A</v>
      </c>
      <c r="I80" s="339">
        <f t="shared" si="34"/>
        <v>0</v>
      </c>
      <c r="J80" s="339" t="e">
        <f t="shared" si="25"/>
        <v>#N/A</v>
      </c>
      <c r="K80">
        <f>COUNTIFS('Quote Log'!$C:$C,"&gt;="&amp;DATE(2022,6,19),'Quote Log'!$C:$C,"&lt;="&amp;DATE(2022,6,25),'Quote Log'!$B:$B,"=LOST")</f>
        <v>0</v>
      </c>
      <c r="L80">
        <f>COUNTIFS('Quote Log'!$B:$B,"&lt;&gt;VOID",'Quote Log'!$B:$B,"&lt;&gt;Requoted",'Quote Log'!$C:$C,"&gt;="&amp;DATE(2022,6,19),'Quote Log'!$C:$C,"&lt;="&amp;DATE(2022,6,25),'Quote Log'!$V:$V,"=new")</f>
        <v>0</v>
      </c>
      <c r="M80" s="349">
        <f t="shared" si="35"/>
        <v>0</v>
      </c>
      <c r="N80" s="339" t="e">
        <f t="shared" si="26"/>
        <v>#N/A</v>
      </c>
      <c r="O80" s="351">
        <f>SUMIFS('Quote Log'!$AB:$AB,'Quote Log'!$C:$C,"&gt;="&amp;DATE(2022,6,19),'Quote Log'!$C:$C,"&lt;="&amp;DATE(2022,6,25),'Quote Log'!$B:$B,"=Purchased",'Quote Log'!$AB:$AB,"&lt;&gt;#VALUE!")</f>
        <v>0</v>
      </c>
      <c r="P80" s="351" t="e">
        <f t="shared" si="27"/>
        <v>#N/A</v>
      </c>
      <c r="Q80" s="349" t="e">
        <f t="shared" si="28"/>
        <v>#DIV/0!</v>
      </c>
      <c r="R80" s="349" t="e">
        <f t="shared" si="29"/>
        <v>#N/A</v>
      </c>
      <c r="S80" s="351">
        <f t="shared" si="33"/>
        <v>0</v>
      </c>
      <c r="T80" s="351" t="e">
        <f t="shared" si="30"/>
        <v>#N/A</v>
      </c>
      <c r="U80" s="349" t="e">
        <f t="shared" si="31"/>
        <v>#DIV/0!</v>
      </c>
      <c r="V80" s="349" t="e">
        <f t="shared" si="32"/>
        <v>#N/A</v>
      </c>
    </row>
    <row r="81" spans="1:22" x14ac:dyDescent="0.25">
      <c r="A81">
        <v>2022</v>
      </c>
      <c r="B81" s="350">
        <v>27</v>
      </c>
      <c r="C81">
        <f>COUNTIFS('Quote Log'!$B:$B,"&lt;&gt;VOID",'Quote Log'!$B:$B,"&lt;&gt;Requoted",'Quote Log'!$C:$C,"&gt;="&amp;DATE(2022,6,26),'Quote Log'!$C:$C,"&lt;="&amp;DATE(2022,7,2))</f>
        <v>0</v>
      </c>
      <c r="D81" t="e">
        <f t="shared" si="22"/>
        <v>#N/A</v>
      </c>
      <c r="E81">
        <f>COUNTIFS('Quote Log'!$B:$B,"&lt;&gt;VOID",'Quote Log'!$B:$B,"&lt;&gt;Requoted",'Quote Log'!$H:$H,"&gt;="&amp;DATE(2022,6,26),'Quote Log'!$H:$H,"&lt;="&amp;DATE(2022,7,2))</f>
        <v>0</v>
      </c>
      <c r="F81" t="e">
        <f t="shared" si="23"/>
        <v>#N/A</v>
      </c>
      <c r="G81">
        <f>COUNTIFS('Quote Log'!$C:$C,"&gt;="&amp;DATE(2022,6,26),'Quote Log'!$C:$C,"&lt;="&amp;DATE(2022,7,2),'Quote Log'!$B:$B,"=Purchased")</f>
        <v>0</v>
      </c>
      <c r="H81" t="e">
        <f t="shared" si="24"/>
        <v>#N/A</v>
      </c>
      <c r="I81" s="339">
        <f t="shared" si="34"/>
        <v>0</v>
      </c>
      <c r="J81" s="339" t="e">
        <f t="shared" si="25"/>
        <v>#N/A</v>
      </c>
      <c r="K81">
        <f>COUNTIFS('Quote Log'!$C:$C,"&gt;="&amp;DATE(2022,6,26),'Quote Log'!$C:$C,"&lt;="&amp;DATE(2022,7,2),'Quote Log'!$B:$B,"=LOST")</f>
        <v>0</v>
      </c>
      <c r="L81">
        <f>COUNTIFS('Quote Log'!$B:$B,"&lt;&gt;VOID",'Quote Log'!$B:$B,"&lt;&gt;Requoted",'Quote Log'!$C:$C,"&gt;="&amp;DATE(2022,6,26),'Quote Log'!$C:$C,"&lt;="&amp;DATE(2022,7,2),'Quote Log'!$V:$V,"=new")</f>
        <v>0</v>
      </c>
      <c r="M81" s="349">
        <f t="shared" si="35"/>
        <v>0</v>
      </c>
      <c r="N81" s="339" t="e">
        <f t="shared" si="26"/>
        <v>#N/A</v>
      </c>
      <c r="O81" s="351">
        <f>SUMIFS('Quote Log'!$AB:$AB,'Quote Log'!$C:$C,"&gt;="&amp;DATE(2022,6,26),'Quote Log'!$C:$C,"&lt;="&amp;DATE(2022,7,2),'Quote Log'!$B:$B,"=Purchased",'Quote Log'!$AB:$AB,"&lt;&gt;#VALUE!")</f>
        <v>0</v>
      </c>
      <c r="P81" s="351" t="e">
        <f t="shared" si="27"/>
        <v>#N/A</v>
      </c>
      <c r="Q81" s="349" t="e">
        <f t="shared" si="28"/>
        <v>#DIV/0!</v>
      </c>
      <c r="R81" s="349" t="e">
        <f t="shared" si="29"/>
        <v>#N/A</v>
      </c>
      <c r="S81" s="351">
        <f t="shared" si="33"/>
        <v>0</v>
      </c>
      <c r="T81" s="351" t="e">
        <f t="shared" si="30"/>
        <v>#N/A</v>
      </c>
      <c r="U81" s="349" t="e">
        <f t="shared" si="31"/>
        <v>#DIV/0!</v>
      </c>
      <c r="V81" s="349" t="e">
        <f t="shared" si="32"/>
        <v>#N/A</v>
      </c>
    </row>
    <row r="82" spans="1:22" x14ac:dyDescent="0.25">
      <c r="A82">
        <v>2022</v>
      </c>
      <c r="B82" s="350">
        <v>28</v>
      </c>
      <c r="C82">
        <f>COUNTIFS('Quote Log'!$B:$B,"&lt;&gt;VOID",'Quote Log'!$B:$B,"&lt;&gt;Requoted",'Quote Log'!$C:$C,"&gt;="&amp;DATE(2022,7,3),'Quote Log'!$C:$C,"&lt;="&amp;DATE(2022,7,9))</f>
        <v>0</v>
      </c>
      <c r="D82" t="e">
        <f t="shared" si="22"/>
        <v>#N/A</v>
      </c>
      <c r="E82">
        <f>COUNTIFS('Quote Log'!$B:$B,"&lt;&gt;VOID",'Quote Log'!$B:$B,"&lt;&gt;Requoted",'Quote Log'!$H:$H,"&gt;="&amp;DATE(2022,7,3),'Quote Log'!$H:$H,"&lt;="&amp;DATE(2022,7,9))</f>
        <v>0</v>
      </c>
      <c r="F82" t="e">
        <f t="shared" si="23"/>
        <v>#N/A</v>
      </c>
      <c r="G82">
        <f>COUNTIFS('Quote Log'!$C:$C,"&gt;="&amp;DATE(2022,7,3),'Quote Log'!$C:$C,"&lt;="&amp;DATE(2022,7,9),'Quote Log'!$B:$B,"=Purchased")</f>
        <v>0</v>
      </c>
      <c r="H82" t="e">
        <f t="shared" si="24"/>
        <v>#N/A</v>
      </c>
      <c r="I82" s="339">
        <f t="shared" si="34"/>
        <v>0</v>
      </c>
      <c r="J82" s="339" t="e">
        <f t="shared" si="25"/>
        <v>#N/A</v>
      </c>
      <c r="K82">
        <f>COUNTIFS('Quote Log'!$C:$C,"&gt;="&amp;DATE(2022,7,3),'Quote Log'!$C:$C,"&lt;="&amp;DATE(2022,7,9),'Quote Log'!$B:$B,"=LOST")</f>
        <v>0</v>
      </c>
      <c r="L82">
        <f>COUNTIFS('Quote Log'!$B:$B,"&lt;&gt;VOID",'Quote Log'!$B:$B,"&lt;&gt;Requoted",'Quote Log'!$C:$C,"&gt;="&amp;DATE(2022,7,3),'Quote Log'!$C:$C,"&lt;="&amp;DATE(2022,7,9),'Quote Log'!$V:$V,"=new")</f>
        <v>0</v>
      </c>
      <c r="M82" s="349">
        <f t="shared" si="35"/>
        <v>0</v>
      </c>
      <c r="N82" s="339" t="e">
        <f t="shared" si="26"/>
        <v>#N/A</v>
      </c>
      <c r="O82" s="351">
        <f>SUMIFS('Quote Log'!$AB:$AB,'Quote Log'!$C:$C,"&gt;="&amp;DATE(2022,7,3),'Quote Log'!$C:$C,"&lt;="&amp;DATE(2022,7,9),'Quote Log'!$B:$B,"=Purchased",'Quote Log'!$AB:$AB,"&lt;&gt;#VALUE!")</f>
        <v>0</v>
      </c>
      <c r="P82" s="351" t="e">
        <f t="shared" si="27"/>
        <v>#N/A</v>
      </c>
      <c r="Q82" s="349" t="e">
        <f t="shared" si="28"/>
        <v>#DIV/0!</v>
      </c>
      <c r="R82" s="349" t="e">
        <f t="shared" si="29"/>
        <v>#N/A</v>
      </c>
      <c r="S82" s="351">
        <f t="shared" si="33"/>
        <v>0</v>
      </c>
      <c r="T82" s="351" t="e">
        <f t="shared" si="30"/>
        <v>#N/A</v>
      </c>
      <c r="U82" s="349" t="e">
        <f t="shared" si="31"/>
        <v>#DIV/0!</v>
      </c>
      <c r="V82" s="349" t="e">
        <f t="shared" si="32"/>
        <v>#N/A</v>
      </c>
    </row>
    <row r="83" spans="1:22" x14ac:dyDescent="0.25">
      <c r="A83">
        <v>2022</v>
      </c>
      <c r="B83" s="350">
        <v>29</v>
      </c>
      <c r="C83">
        <f>COUNTIFS('Quote Log'!$B:$B,"&lt;&gt;VOID",'Quote Log'!$B:$B,"&lt;&gt;Requoted",'Quote Log'!$C:$C,"&gt;="&amp;DATE(2022,7,10),'Quote Log'!$C:$C,"&lt;="&amp;DATE(2022,7,16))</f>
        <v>0</v>
      </c>
      <c r="D83" t="e">
        <f t="shared" si="22"/>
        <v>#N/A</v>
      </c>
      <c r="E83">
        <f>COUNTIFS('Quote Log'!$B:$B,"&lt;&gt;VOID",'Quote Log'!$B:$B,"&lt;&gt;Requoted",'Quote Log'!$H:$H,"&gt;="&amp;DATE(2022,7,10),'Quote Log'!$H:$H,"&lt;="&amp;DATE(2022,7,16))</f>
        <v>0</v>
      </c>
      <c r="F83" t="e">
        <f t="shared" si="23"/>
        <v>#N/A</v>
      </c>
      <c r="G83">
        <f>COUNTIFS('Quote Log'!$C:$C,"&gt;="&amp;DATE(2022,7,10),'Quote Log'!$C:$C,"&lt;="&amp;DATE(2022,7,16),'Quote Log'!$B:$B,"=Purchased")</f>
        <v>0</v>
      </c>
      <c r="H83" t="e">
        <f t="shared" si="24"/>
        <v>#N/A</v>
      </c>
      <c r="I83" s="339">
        <f t="shared" si="34"/>
        <v>0</v>
      </c>
      <c r="J83" s="339" t="e">
        <f t="shared" si="25"/>
        <v>#N/A</v>
      </c>
      <c r="K83">
        <f>COUNTIFS('Quote Log'!$C:$C,"&gt;="&amp;DATE(2022,7,10),'Quote Log'!$C:$C,"&lt;="&amp;DATE(2022,7,16),'Quote Log'!$B:$B,"=LOST")</f>
        <v>0</v>
      </c>
      <c r="L83">
        <f>COUNTIFS('Quote Log'!$B:$B,"&lt;&gt;VOID",'Quote Log'!$B:$B,"&lt;&gt;Requoted",'Quote Log'!$C:$C,"&gt;="&amp;DATE(2022,7,10),'Quote Log'!$C:$C,"&lt;="&amp;DATE(2022,7,16),'Quote Log'!$V:$V,"=new")</f>
        <v>0</v>
      </c>
      <c r="M83" s="349">
        <f t="shared" si="35"/>
        <v>0</v>
      </c>
      <c r="N83" s="339" t="e">
        <f t="shared" si="26"/>
        <v>#N/A</v>
      </c>
      <c r="O83" s="351">
        <f>SUMIFS('Quote Log'!$AB:$AB,'Quote Log'!$C:$C,"&gt;="&amp;DATE(2022,7,10),'Quote Log'!$C:$C,"&lt;="&amp;DATE(2022,7,16),'Quote Log'!$B:$B,"=Purchased",'Quote Log'!$AB:$AB,"&lt;&gt;#VALUE!")</f>
        <v>0</v>
      </c>
      <c r="P83" s="351" t="e">
        <f t="shared" si="27"/>
        <v>#N/A</v>
      </c>
      <c r="Q83" s="349" t="e">
        <f t="shared" si="28"/>
        <v>#DIV/0!</v>
      </c>
      <c r="R83" s="349" t="e">
        <f t="shared" si="29"/>
        <v>#N/A</v>
      </c>
      <c r="S83" s="351">
        <f t="shared" si="33"/>
        <v>0</v>
      </c>
      <c r="T83" s="351" t="e">
        <f t="shared" si="30"/>
        <v>#N/A</v>
      </c>
      <c r="U83" s="349" t="e">
        <f t="shared" si="31"/>
        <v>#DIV/0!</v>
      </c>
      <c r="V83" s="349" t="e">
        <f t="shared" si="32"/>
        <v>#N/A</v>
      </c>
    </row>
    <row r="84" spans="1:22" x14ac:dyDescent="0.25">
      <c r="A84">
        <v>2022</v>
      </c>
      <c r="B84" s="350">
        <v>30</v>
      </c>
      <c r="C84">
        <f>COUNTIFS('Quote Log'!$B:$B,"&lt;&gt;VOID",'Quote Log'!$B:$B,"&lt;&gt;Requoted",'Quote Log'!$C:$C,"&gt;="&amp;DATE(2022,7,17),'Quote Log'!$C:$C,"&lt;="&amp;DATE(2022,7,23))</f>
        <v>0</v>
      </c>
      <c r="D84" t="e">
        <f t="shared" si="22"/>
        <v>#N/A</v>
      </c>
      <c r="E84">
        <f>COUNTIFS('Quote Log'!$B:$B,"&lt;&gt;VOID",'Quote Log'!$B:$B,"&lt;&gt;Requoted",'Quote Log'!$H:$H,"&gt;="&amp;DATE(2022,7,17),'Quote Log'!$H:$H,"&lt;="&amp;DATE(2022,7,23))</f>
        <v>0</v>
      </c>
      <c r="F84" t="e">
        <f t="shared" si="23"/>
        <v>#N/A</v>
      </c>
      <c r="G84">
        <f>COUNTIFS('Quote Log'!$C:$C,"&gt;="&amp;DATE(2022,7,17),'Quote Log'!$C:$C,"&lt;="&amp;DATE(2022,7,23),'Quote Log'!$B:$B,"=Purchased")</f>
        <v>0</v>
      </c>
      <c r="H84" t="e">
        <f t="shared" si="24"/>
        <v>#N/A</v>
      </c>
      <c r="I84" s="339">
        <f t="shared" si="34"/>
        <v>0</v>
      </c>
      <c r="J84" s="339" t="e">
        <f t="shared" si="25"/>
        <v>#N/A</v>
      </c>
      <c r="K84">
        <f>COUNTIFS('Quote Log'!$C:$C,"&gt;="&amp;DATE(2022,7,17),'Quote Log'!$C:$C,"&lt;="&amp;DATE(2022,7,23),'Quote Log'!$B:$B,"=LOST")</f>
        <v>0</v>
      </c>
      <c r="L84">
        <f>COUNTIFS('Quote Log'!$B:$B,"&lt;&gt;VOID",'Quote Log'!$B:$B,"&lt;&gt;Requoted",'Quote Log'!$C:$C,"&gt;="&amp;DATE(2022,7,17),'Quote Log'!$C:$C,"&lt;="&amp;DATE(2022,7,23),'Quote Log'!$V:$V,"=new")</f>
        <v>0</v>
      </c>
      <c r="M84" s="349">
        <f t="shared" si="35"/>
        <v>0</v>
      </c>
      <c r="N84" s="339" t="e">
        <f t="shared" si="26"/>
        <v>#N/A</v>
      </c>
      <c r="O84" s="351">
        <f>SUMIFS('Quote Log'!$AB:$AB,'Quote Log'!$C:$C,"&gt;="&amp;DATE(2022,7,17),'Quote Log'!$C:$C,"&lt;="&amp;DATE(2022,7,23),'Quote Log'!$B:$B,"=Purchased",'Quote Log'!$AB:$AB,"&lt;&gt;#VALUE!")</f>
        <v>0</v>
      </c>
      <c r="P84" s="351" t="e">
        <f t="shared" si="27"/>
        <v>#N/A</v>
      </c>
      <c r="Q84" s="349" t="e">
        <f t="shared" si="28"/>
        <v>#DIV/0!</v>
      </c>
      <c r="R84" s="349" t="e">
        <f t="shared" si="29"/>
        <v>#N/A</v>
      </c>
      <c r="S84" s="351">
        <f t="shared" si="33"/>
        <v>0</v>
      </c>
      <c r="T84" s="351" t="e">
        <f t="shared" si="30"/>
        <v>#N/A</v>
      </c>
      <c r="U84" s="349" t="e">
        <f t="shared" si="31"/>
        <v>#DIV/0!</v>
      </c>
      <c r="V84" s="349" t="e">
        <f t="shared" si="32"/>
        <v>#N/A</v>
      </c>
    </row>
    <row r="85" spans="1:22" x14ac:dyDescent="0.25">
      <c r="A85">
        <v>2022</v>
      </c>
      <c r="B85" s="350">
        <v>31</v>
      </c>
      <c r="C85">
        <f>COUNTIFS('Quote Log'!$B:$B,"&lt;&gt;VOID",'Quote Log'!$B:$B,"&lt;&gt;Requoted",'Quote Log'!$C:$C,"&gt;="&amp;DATE(2022,7,24),'Quote Log'!$C:$C,"&lt;="&amp;DATE(2022,7,30))</f>
        <v>0</v>
      </c>
      <c r="D85" t="e">
        <f t="shared" si="22"/>
        <v>#N/A</v>
      </c>
      <c r="E85">
        <f>COUNTIFS('Quote Log'!$B:$B,"&lt;&gt;VOID",'Quote Log'!$B:$B,"&lt;&gt;Requoted",'Quote Log'!$H:$H,"&gt;="&amp;DATE(2022,7,24),'Quote Log'!$H:$H,"&lt;="&amp;DATE(2022,7,30))</f>
        <v>0</v>
      </c>
      <c r="F85" t="e">
        <f t="shared" si="23"/>
        <v>#N/A</v>
      </c>
      <c r="G85">
        <f>COUNTIFS('Quote Log'!$C:$C,"&gt;="&amp;DATE(2022,7,24),'Quote Log'!$C:$C,"&lt;="&amp;DATE(2022,7,30),'Quote Log'!$B:$B,"=Purchased")</f>
        <v>0</v>
      </c>
      <c r="H85" t="e">
        <f t="shared" si="24"/>
        <v>#N/A</v>
      </c>
      <c r="I85" s="339">
        <f t="shared" si="34"/>
        <v>0</v>
      </c>
      <c r="J85" s="339" t="e">
        <f t="shared" si="25"/>
        <v>#N/A</v>
      </c>
      <c r="K85">
        <f>COUNTIFS('Quote Log'!$C:$C,"&gt;="&amp;DATE(2022,7,24),'Quote Log'!$C:$C,"&lt;="&amp;DATE(2022,7,30),'Quote Log'!$B:$B,"=LOST")</f>
        <v>0</v>
      </c>
      <c r="L85">
        <f>COUNTIFS('Quote Log'!$B:$B,"&lt;&gt;VOID",'Quote Log'!$B:$B,"&lt;&gt;Requoted",'Quote Log'!$C:$C,"&gt;="&amp;DATE(2022,7,24),'Quote Log'!$C:$C,"&lt;="&amp;DATE(2022,7,30),'Quote Log'!$V:$V,"=new")</f>
        <v>0</v>
      </c>
      <c r="M85" s="349">
        <f t="shared" si="35"/>
        <v>0</v>
      </c>
      <c r="N85" s="339" t="e">
        <f t="shared" si="26"/>
        <v>#N/A</v>
      </c>
      <c r="O85" s="351">
        <f>SUMIFS('Quote Log'!$AB:$AB,'Quote Log'!$C:$C,"&gt;="&amp;DATE(2022,7,24),'Quote Log'!$C:$C,"&lt;="&amp;DATE(2022,7,30),'Quote Log'!$B:$B,"=Purchased",'Quote Log'!$AB:$AB,"&lt;&gt;#VALUE!")</f>
        <v>0</v>
      </c>
      <c r="P85" s="351" t="e">
        <f t="shared" si="27"/>
        <v>#N/A</v>
      </c>
      <c r="Q85" s="349" t="e">
        <f t="shared" si="28"/>
        <v>#DIV/0!</v>
      </c>
      <c r="R85" s="349" t="e">
        <f t="shared" si="29"/>
        <v>#N/A</v>
      </c>
      <c r="S85" s="351">
        <f t="shared" si="33"/>
        <v>0</v>
      </c>
      <c r="T85" s="351" t="e">
        <f t="shared" si="30"/>
        <v>#N/A</v>
      </c>
      <c r="U85" s="349" t="e">
        <f t="shared" si="31"/>
        <v>#DIV/0!</v>
      </c>
      <c r="V85" s="349" t="e">
        <f t="shared" si="32"/>
        <v>#N/A</v>
      </c>
    </row>
    <row r="86" spans="1:22" x14ac:dyDescent="0.25">
      <c r="A86">
        <v>2022</v>
      </c>
      <c r="B86" s="350">
        <v>32</v>
      </c>
      <c r="C86">
        <f>COUNTIFS('Quote Log'!$B:$B,"&lt;&gt;VOID",'Quote Log'!$B:$B,"&lt;&gt;Requoted",'Quote Log'!$C:$C,"&gt;="&amp;DATE(2022,7,31),'Quote Log'!$C:$C,"&lt;="&amp;DATE(2022,8,6))</f>
        <v>0</v>
      </c>
      <c r="D86" t="e">
        <f t="shared" si="22"/>
        <v>#N/A</v>
      </c>
      <c r="E86">
        <f>COUNTIFS('Quote Log'!$B:$B,"&lt;&gt;VOID",'Quote Log'!$B:$B,"&lt;&gt;Requoted",'Quote Log'!$H:$H,"&gt;="&amp;DATE(2022,7,31),'Quote Log'!$H:$H,"&lt;="&amp;DATE(2022,8,6))</f>
        <v>0</v>
      </c>
      <c r="F86" t="e">
        <f t="shared" si="23"/>
        <v>#N/A</v>
      </c>
      <c r="G86">
        <f>COUNTIFS('Quote Log'!$C:$C,"&gt;="&amp;DATE(2022,7,31),'Quote Log'!$C:$C,"&lt;="&amp;DATE(2022,8,6),'Quote Log'!$B:$B,"=Purchased")</f>
        <v>0</v>
      </c>
      <c r="H86" t="e">
        <f t="shared" si="24"/>
        <v>#N/A</v>
      </c>
      <c r="I86" s="339">
        <f t="shared" si="34"/>
        <v>0</v>
      </c>
      <c r="J86" s="339" t="e">
        <f t="shared" si="25"/>
        <v>#N/A</v>
      </c>
      <c r="K86">
        <f>COUNTIFS('Quote Log'!$C:$C,"&gt;="&amp;DATE(2022,7,31),'Quote Log'!$C:$C,"&lt;="&amp;DATE(2022,8,6),'Quote Log'!$B:$B,"=LOST")</f>
        <v>0</v>
      </c>
      <c r="L86">
        <f>COUNTIFS('Quote Log'!$B:$B,"&lt;&gt;VOID",'Quote Log'!$B:$B,"&lt;&gt;Requoted",'Quote Log'!$C:$C,"&gt;="&amp;DATE(2022,7,31),'Quote Log'!$C:$C,"&lt;="&amp;DATE(2022,8,6),'Quote Log'!$V:$V,"=new")</f>
        <v>0</v>
      </c>
      <c r="M86" s="349">
        <f t="shared" si="35"/>
        <v>0</v>
      </c>
      <c r="N86" s="339" t="e">
        <f t="shared" si="26"/>
        <v>#N/A</v>
      </c>
      <c r="O86" s="351">
        <f>SUMIFS('Quote Log'!$AB:$AB,'Quote Log'!$C:$C,"&gt;="&amp;DATE(2022,7,31),'Quote Log'!$C:$C,"&lt;="&amp;DATE(2022,8,6),'Quote Log'!$B:$B,"=Purchased",'Quote Log'!$AB:$AB,"&lt;&gt;#VALUE!")</f>
        <v>0</v>
      </c>
      <c r="P86" s="351" t="e">
        <f t="shared" si="27"/>
        <v>#N/A</v>
      </c>
      <c r="Q86" s="349" t="e">
        <f t="shared" si="28"/>
        <v>#DIV/0!</v>
      </c>
      <c r="R86" s="349" t="e">
        <f t="shared" si="29"/>
        <v>#N/A</v>
      </c>
      <c r="S86" s="351">
        <f t="shared" si="33"/>
        <v>0</v>
      </c>
      <c r="T86" s="351" t="e">
        <f t="shared" si="30"/>
        <v>#N/A</v>
      </c>
      <c r="U86" s="349" t="e">
        <f t="shared" si="31"/>
        <v>#DIV/0!</v>
      </c>
      <c r="V86" s="349" t="e">
        <f t="shared" si="32"/>
        <v>#N/A</v>
      </c>
    </row>
    <row r="87" spans="1:22" x14ac:dyDescent="0.25">
      <c r="A87">
        <v>2022</v>
      </c>
      <c r="B87" s="350">
        <v>33</v>
      </c>
      <c r="C87">
        <f>COUNTIFS('Quote Log'!$B:$B,"&lt;&gt;VOID",'Quote Log'!$B:$B,"&lt;&gt;Requoted",'Quote Log'!$C:$C,"&gt;="&amp;DATE(2022,8,7),'Quote Log'!$C:$C,"&lt;="&amp;DATE(2022,8,13))</f>
        <v>0</v>
      </c>
      <c r="D87" t="e">
        <f t="shared" ref="D87:D107" si="36">IF($Z$3,C87,NA())</f>
        <v>#N/A</v>
      </c>
      <c r="E87">
        <f>COUNTIFS('Quote Log'!$B:$B,"&lt;&gt;VOID",'Quote Log'!$B:$B,"&lt;&gt;Requoted",'Quote Log'!$H:$H,"&gt;="&amp;DATE(2022,8,7),'Quote Log'!$H:$H,"&lt;="&amp;DATE(2022,8,13))</f>
        <v>0</v>
      </c>
      <c r="F87" t="e">
        <f t="shared" ref="F87:F107" si="37">IF($Z$3,E87,NA())</f>
        <v>#N/A</v>
      </c>
      <c r="G87">
        <f>COUNTIFS('Quote Log'!$C:$C,"&gt;="&amp;DATE(2022,8,7),'Quote Log'!$C:$C,"&lt;="&amp;DATE(2022,8,13),'Quote Log'!$B:$B,"=Purchased")</f>
        <v>0</v>
      </c>
      <c r="H87" t="e">
        <f t="shared" ref="H87:H107" si="38">IF(Z$3,G87,NA())</f>
        <v>#N/A</v>
      </c>
      <c r="I87" s="339">
        <f t="shared" si="34"/>
        <v>0</v>
      </c>
      <c r="J87" s="339" t="e">
        <f t="shared" ref="J87:J107" si="39">IF($Z$3,I87,NA())</f>
        <v>#N/A</v>
      </c>
      <c r="K87">
        <f>COUNTIFS('Quote Log'!$C:$C,"&gt;="&amp;DATE(2022,8,7),'Quote Log'!$C:$C,"&lt;="&amp;DATE(2022,8,13),'Quote Log'!$B:$B,"=LOST")</f>
        <v>0</v>
      </c>
      <c r="L87">
        <f>COUNTIFS('Quote Log'!$B:$B,"&lt;&gt;VOID",'Quote Log'!$B:$B,"&lt;&gt;Requoted",'Quote Log'!$C:$C,"&gt;="&amp;DATE(2022,8,7),'Quote Log'!$C:$C,"&lt;="&amp;DATE(2022,8,13),'Quote Log'!$V:$V,"=new")</f>
        <v>0</v>
      </c>
      <c r="M87" s="349">
        <f t="shared" si="35"/>
        <v>0</v>
      </c>
      <c r="N87" s="339" t="e">
        <f t="shared" ref="N87:N107" si="40">IF($Z$3,M87,NA())</f>
        <v>#N/A</v>
      </c>
      <c r="O87" s="351">
        <f>SUMIFS('Quote Log'!$AB:$AB,'Quote Log'!$C:$C,"&gt;="&amp;DATE(2022,8,7),'Quote Log'!$C:$C,"&lt;="&amp;DATE(2022,8,13),'Quote Log'!$B:$B,"=Purchased",'Quote Log'!$AB:$AB,"&lt;&gt;#VALUE!")</f>
        <v>0</v>
      </c>
      <c r="P87" s="351" t="e">
        <f t="shared" ref="P87:P107" si="41">IF($Z$3,O87,NA())</f>
        <v>#N/A</v>
      </c>
      <c r="Q87" s="349" t="e">
        <f t="shared" ref="Q87:Q118" si="42">(O87-O34)/O34</f>
        <v>#DIV/0!</v>
      </c>
      <c r="R87" s="349" t="e">
        <f t="shared" ref="R87:R107" si="43">IF($Z$3,Q87,NA())</f>
        <v>#N/A</v>
      </c>
      <c r="S87" s="351">
        <f t="shared" si="33"/>
        <v>0</v>
      </c>
      <c r="T87" s="351" t="e">
        <f t="shared" ref="T87:T107" si="44">IF($Z$3,S87,NA())</f>
        <v>#N/A</v>
      </c>
      <c r="U87" s="349" t="e">
        <f t="shared" ref="U87:U118" si="45">(S87-S34)/S34</f>
        <v>#DIV/0!</v>
      </c>
      <c r="V87" s="349" t="e">
        <f t="shared" ref="V87:V107" si="46">IF($Z$3,U87,NA())</f>
        <v>#N/A</v>
      </c>
    </row>
    <row r="88" spans="1:22" x14ac:dyDescent="0.25">
      <c r="A88">
        <v>2022</v>
      </c>
      <c r="B88" s="350">
        <v>34</v>
      </c>
      <c r="C88">
        <f>COUNTIFS('Quote Log'!$B:$B,"&lt;&gt;VOID",'Quote Log'!$B:$B,"&lt;&gt;Requoted",'Quote Log'!$C:$C,"&gt;="&amp;DATE(2022,8,14),'Quote Log'!$C:$C,"&lt;="&amp;DATE(2022,8,20))</f>
        <v>0</v>
      </c>
      <c r="D88" t="e">
        <f t="shared" si="36"/>
        <v>#N/A</v>
      </c>
      <c r="E88">
        <f>COUNTIFS('Quote Log'!$B:$B,"&lt;&gt;VOID",'Quote Log'!$B:$B,"&lt;&gt;Requoted",'Quote Log'!$H:$H,"&gt;="&amp;DATE(2022,8,14),'Quote Log'!$H:$H,"&lt;="&amp;DATE(2022,8,20))</f>
        <v>0</v>
      </c>
      <c r="F88" t="e">
        <f t="shared" si="37"/>
        <v>#N/A</v>
      </c>
      <c r="G88">
        <f>COUNTIFS('Quote Log'!$C:$C,"&gt;="&amp;DATE(2022,8,14),'Quote Log'!$C:$C,"&lt;="&amp;DATE(2022,8,20),'Quote Log'!$B:$B,"=Purchased")</f>
        <v>0</v>
      </c>
      <c r="H88" t="e">
        <f t="shared" si="38"/>
        <v>#N/A</v>
      </c>
      <c r="I88" s="339">
        <f t="shared" si="34"/>
        <v>0</v>
      </c>
      <c r="J88" s="339" t="e">
        <f t="shared" si="39"/>
        <v>#N/A</v>
      </c>
      <c r="K88">
        <f>COUNTIFS('Quote Log'!$C:$C,"&gt;="&amp;DATE(2022,8,14),'Quote Log'!$C:$C,"&lt;="&amp;DATE(2022,8,20),'Quote Log'!$B:$B,"=LOST")</f>
        <v>0</v>
      </c>
      <c r="L88">
        <f>COUNTIFS('Quote Log'!$B:$B,"&lt;&gt;VOID",'Quote Log'!$B:$B,"&lt;&gt;Requoted",'Quote Log'!$C:$C,"&gt;="&amp;DATE(2022,8,14),'Quote Log'!$C:$C,"&lt;="&amp;DATE(2022,8,20),'Quote Log'!$V:$V,"=new")</f>
        <v>0</v>
      </c>
      <c r="M88" s="349">
        <f t="shared" si="35"/>
        <v>0</v>
      </c>
      <c r="N88" s="339" t="e">
        <f t="shared" si="40"/>
        <v>#N/A</v>
      </c>
      <c r="O88" s="351">
        <f>SUMIFS('Quote Log'!$AB:$AB,'Quote Log'!$C:$C,"&gt;="&amp;DATE(2022,8,14),'Quote Log'!$C:$C,"&lt;="&amp;DATE(2022,8,20),'Quote Log'!$B:$B,"=Purchased",'Quote Log'!$AB:$AB,"&lt;&gt;#VALUE!")</f>
        <v>0</v>
      </c>
      <c r="P88" s="351" t="e">
        <f t="shared" si="41"/>
        <v>#N/A</v>
      </c>
      <c r="Q88" s="349" t="e">
        <f t="shared" si="42"/>
        <v>#DIV/0!</v>
      </c>
      <c r="R88" s="349" t="e">
        <f t="shared" si="43"/>
        <v>#N/A</v>
      </c>
      <c r="S88" s="351">
        <f t="shared" ref="S88:S107" si="47">O88+S87</f>
        <v>0</v>
      </c>
      <c r="T88" s="351" t="e">
        <f t="shared" si="44"/>
        <v>#N/A</v>
      </c>
      <c r="U88" s="349" t="e">
        <f t="shared" si="45"/>
        <v>#DIV/0!</v>
      </c>
      <c r="V88" s="349" t="e">
        <f t="shared" si="46"/>
        <v>#N/A</v>
      </c>
    </row>
    <row r="89" spans="1:22" x14ac:dyDescent="0.25">
      <c r="A89">
        <v>2022</v>
      </c>
      <c r="B89" s="350">
        <v>35</v>
      </c>
      <c r="C89">
        <f>COUNTIFS('Quote Log'!$B:$B,"&lt;&gt;VOID",'Quote Log'!$B:$B,"&lt;&gt;Requoted",'Quote Log'!$C:$C,"&gt;="&amp;DATE(2022,8,21),'Quote Log'!$C:$C,"&lt;="&amp;DATE(2022,8,27))</f>
        <v>0</v>
      </c>
      <c r="D89" t="e">
        <f t="shared" si="36"/>
        <v>#N/A</v>
      </c>
      <c r="E89">
        <f>COUNTIFS('Quote Log'!$B:$B,"&lt;&gt;VOID",'Quote Log'!$B:$B,"&lt;&gt;Requoted",'Quote Log'!$H:$H,"&gt;="&amp;DATE(2022,8,21),'Quote Log'!$H:$H,"&lt;="&amp;DATE(2022,8,27))</f>
        <v>0</v>
      </c>
      <c r="F89" t="e">
        <f t="shared" si="37"/>
        <v>#N/A</v>
      </c>
      <c r="G89">
        <f>COUNTIFS('Quote Log'!$C:$C,"&gt;="&amp;DATE(2022,8,21),'Quote Log'!$C:$C,"&lt;="&amp;DATE(2022,8,27),'Quote Log'!$B:$B,"=Purchased")</f>
        <v>0</v>
      </c>
      <c r="H89" t="e">
        <f t="shared" si="38"/>
        <v>#N/A</v>
      </c>
      <c r="I89" s="339">
        <f t="shared" si="34"/>
        <v>0</v>
      </c>
      <c r="J89" s="339" t="e">
        <f t="shared" si="39"/>
        <v>#N/A</v>
      </c>
      <c r="K89">
        <f>COUNTIFS('Quote Log'!$C:$C,"&gt;="&amp;DATE(2022,8,21),'Quote Log'!$C:$C,"&lt;="&amp;DATE(2022,8,27),'Quote Log'!$B:$B,"=LOST")</f>
        <v>0</v>
      </c>
      <c r="L89">
        <f>COUNTIFS('Quote Log'!$B:$B,"&lt;&gt;VOID",'Quote Log'!$B:$B,"&lt;&gt;Requoted",'Quote Log'!$C:$C,"&gt;="&amp;DATE(2022,8,21),'Quote Log'!$C:$C,"&lt;="&amp;DATE(2022,8,27),'Quote Log'!$V:$V,"=new")</f>
        <v>0</v>
      </c>
      <c r="M89" s="349">
        <f t="shared" si="35"/>
        <v>0</v>
      </c>
      <c r="N89" s="339" t="e">
        <f t="shared" si="40"/>
        <v>#N/A</v>
      </c>
      <c r="O89" s="351">
        <f>SUMIFS('Quote Log'!$AB:$AB,'Quote Log'!$C:$C,"&gt;="&amp;DATE(2022,8,21),'Quote Log'!$C:$C,"&lt;="&amp;DATE(2022,8,27),'Quote Log'!$B:$B,"=Purchased",'Quote Log'!$AB:$AB,"&lt;&gt;#VALUE!")</f>
        <v>0</v>
      </c>
      <c r="P89" s="351" t="e">
        <f t="shared" si="41"/>
        <v>#N/A</v>
      </c>
      <c r="Q89" s="349" t="e">
        <f t="shared" si="42"/>
        <v>#DIV/0!</v>
      </c>
      <c r="R89" s="349" t="e">
        <f t="shared" si="43"/>
        <v>#N/A</v>
      </c>
      <c r="S89" s="351">
        <f t="shared" si="47"/>
        <v>0</v>
      </c>
      <c r="T89" s="351" t="e">
        <f t="shared" si="44"/>
        <v>#N/A</v>
      </c>
      <c r="U89" s="349" t="e">
        <f t="shared" si="45"/>
        <v>#DIV/0!</v>
      </c>
      <c r="V89" s="349" t="e">
        <f t="shared" si="46"/>
        <v>#N/A</v>
      </c>
    </row>
    <row r="90" spans="1:22" x14ac:dyDescent="0.25">
      <c r="A90">
        <v>2022</v>
      </c>
      <c r="B90" s="350">
        <v>36</v>
      </c>
      <c r="C90">
        <f>COUNTIFS('Quote Log'!$B:$B,"&lt;&gt;VOID",'Quote Log'!$B:$B,"&lt;&gt;Requoted",'Quote Log'!$C:$C,"&gt;="&amp;DATE(2022,8,28),'Quote Log'!$C:$C,"&lt;="&amp;DATE(2022,9,3))</f>
        <v>0</v>
      </c>
      <c r="D90" t="e">
        <f t="shared" si="36"/>
        <v>#N/A</v>
      </c>
      <c r="E90">
        <f>COUNTIFS('Quote Log'!$B:$B,"&lt;&gt;VOID",'Quote Log'!$B:$B,"&lt;&gt;Requoted",'Quote Log'!$H:$H,"&gt;="&amp;DATE(2022,8,28),'Quote Log'!$H:$H,"&lt;="&amp;DATE(2022,9,3))</f>
        <v>0</v>
      </c>
      <c r="F90" t="e">
        <f t="shared" si="37"/>
        <v>#N/A</v>
      </c>
      <c r="G90">
        <f>COUNTIFS('Quote Log'!$C:$C,"&gt;="&amp;DATE(2022,8,28),'Quote Log'!$C:$C,"&lt;="&amp;DATE(2022,9,3),'Quote Log'!$B:$B,"=Purchased")</f>
        <v>0</v>
      </c>
      <c r="H90" t="e">
        <f t="shared" si="38"/>
        <v>#N/A</v>
      </c>
      <c r="I90" s="339">
        <f t="shared" si="34"/>
        <v>0</v>
      </c>
      <c r="J90" s="339" t="e">
        <f t="shared" si="39"/>
        <v>#N/A</v>
      </c>
      <c r="K90">
        <f>COUNTIFS('Quote Log'!$C:$C,"&gt;="&amp;DATE(2022,8,28),'Quote Log'!$C:$C,"&lt;="&amp;DATE(2022,9,3),'Quote Log'!$B:$B,"=LOST")</f>
        <v>0</v>
      </c>
      <c r="L90">
        <f>COUNTIFS('Quote Log'!$B:$B,"&lt;&gt;VOID",'Quote Log'!$B:$B,"&lt;&gt;Requoted",'Quote Log'!$C:$C,"&gt;="&amp;DATE(2022,8,28),'Quote Log'!$C:$C,"&lt;="&amp;DATE(2022,9,3),'Quote Log'!$V:$V,"=new")</f>
        <v>0</v>
      </c>
      <c r="M90" s="349">
        <f t="shared" si="35"/>
        <v>0</v>
      </c>
      <c r="N90" s="339" t="e">
        <f t="shared" si="40"/>
        <v>#N/A</v>
      </c>
      <c r="O90" s="351">
        <f>SUMIFS('Quote Log'!$AB:$AB,'Quote Log'!$C:$C,"&gt;="&amp;DATE(2022,8,28),'Quote Log'!$C:$C,"&lt;="&amp;DATE(2022,9,3),'Quote Log'!$B:$B,"=Purchased",'Quote Log'!$AB:$AB,"&lt;&gt;#VALUE!")</f>
        <v>0</v>
      </c>
      <c r="P90" s="351" t="e">
        <f t="shared" si="41"/>
        <v>#N/A</v>
      </c>
      <c r="Q90" s="349" t="e">
        <f t="shared" si="42"/>
        <v>#DIV/0!</v>
      </c>
      <c r="R90" s="349" t="e">
        <f t="shared" si="43"/>
        <v>#N/A</v>
      </c>
      <c r="S90" s="351">
        <f t="shared" si="47"/>
        <v>0</v>
      </c>
      <c r="T90" s="351" t="e">
        <f t="shared" si="44"/>
        <v>#N/A</v>
      </c>
      <c r="U90" s="349" t="e">
        <f t="shared" si="45"/>
        <v>#DIV/0!</v>
      </c>
      <c r="V90" s="349" t="e">
        <f t="shared" si="46"/>
        <v>#N/A</v>
      </c>
    </row>
    <row r="91" spans="1:22" x14ac:dyDescent="0.25">
      <c r="A91">
        <v>2022</v>
      </c>
      <c r="B91" s="350">
        <v>37</v>
      </c>
      <c r="C91">
        <f>COUNTIFS('Quote Log'!$B:$B,"&lt;&gt;VOID",'Quote Log'!$B:$B,"&lt;&gt;Requoted",'Quote Log'!$C:$C,"&gt;="&amp;DATE(2022,9,4),'Quote Log'!$C:$C,"&lt;="&amp;DATE(2022,9,10))</f>
        <v>0</v>
      </c>
      <c r="D91" t="e">
        <f t="shared" si="36"/>
        <v>#N/A</v>
      </c>
      <c r="E91">
        <f>COUNTIFS('Quote Log'!$B:$B,"&lt;&gt;VOID",'Quote Log'!$B:$B,"&lt;&gt;Requoted",'Quote Log'!$H:$H,"&gt;="&amp;DATE(2022,9,4),'Quote Log'!$H:$H,"&lt;="&amp;DATE(2022,9,10))</f>
        <v>0</v>
      </c>
      <c r="F91" t="e">
        <f t="shared" si="37"/>
        <v>#N/A</v>
      </c>
      <c r="G91">
        <f>COUNTIFS('Quote Log'!$C:$C,"&gt;="&amp;DATE(2022,9,4),'Quote Log'!$C:$C,"&lt;="&amp;DATE(2022,9,10),'Quote Log'!$B:$B,"=Purchased")</f>
        <v>0</v>
      </c>
      <c r="H91" t="e">
        <f t="shared" si="38"/>
        <v>#N/A</v>
      </c>
      <c r="I91" s="339">
        <f t="shared" si="34"/>
        <v>0</v>
      </c>
      <c r="J91" s="339" t="e">
        <f t="shared" si="39"/>
        <v>#N/A</v>
      </c>
      <c r="K91">
        <f>COUNTIFS('Quote Log'!$C:$C,"&gt;="&amp;DATE(2022,9,4),'Quote Log'!$C:$C,"&lt;="&amp;DATE(2022,9,10),'Quote Log'!$B:$B,"=LOST")</f>
        <v>0</v>
      </c>
      <c r="L91">
        <f>COUNTIFS('Quote Log'!$B:$B,"&lt;&gt;VOID",'Quote Log'!$B:$B,"&lt;&gt;Requoted",'Quote Log'!$C:$C,"&gt;="&amp;DATE(2022,9,4),'Quote Log'!$C:$C,"&lt;="&amp;DATE(2022,9,10),'Quote Log'!$V:$V,"=new")</f>
        <v>0</v>
      </c>
      <c r="M91" s="349">
        <f t="shared" si="35"/>
        <v>0</v>
      </c>
      <c r="N91" s="339" t="e">
        <f t="shared" si="40"/>
        <v>#N/A</v>
      </c>
      <c r="O91" s="351">
        <f>SUMIFS('Quote Log'!$AB:$AB,'Quote Log'!$C:$C,"&gt;="&amp;DATE(2022,9,4),'Quote Log'!$C:$C,"&lt;="&amp;DATE(2022,9,10),'Quote Log'!$B:$B,"=Purchased",'Quote Log'!$AB:$AB,"&lt;&gt;#VALUE!")</f>
        <v>0</v>
      </c>
      <c r="P91" s="351" t="e">
        <f t="shared" si="41"/>
        <v>#N/A</v>
      </c>
      <c r="Q91" s="349" t="e">
        <f t="shared" si="42"/>
        <v>#DIV/0!</v>
      </c>
      <c r="R91" s="349" t="e">
        <f t="shared" si="43"/>
        <v>#N/A</v>
      </c>
      <c r="S91" s="351">
        <f t="shared" si="47"/>
        <v>0</v>
      </c>
      <c r="T91" s="351" t="e">
        <f t="shared" si="44"/>
        <v>#N/A</v>
      </c>
      <c r="U91" s="349" t="e">
        <f t="shared" si="45"/>
        <v>#DIV/0!</v>
      </c>
      <c r="V91" s="349" t="e">
        <f t="shared" si="46"/>
        <v>#N/A</v>
      </c>
    </row>
    <row r="92" spans="1:22" x14ac:dyDescent="0.25">
      <c r="A92">
        <v>2022</v>
      </c>
      <c r="B92" s="350">
        <v>38</v>
      </c>
      <c r="C92">
        <f>COUNTIFS('Quote Log'!$B:$B,"&lt;&gt;VOID",'Quote Log'!$B:$B,"&lt;&gt;Requoted",'Quote Log'!$C:$C,"&gt;="&amp;DATE(2022,9,11),'Quote Log'!$C:$C,"&lt;="&amp;DATE(2022,9,17))</f>
        <v>0</v>
      </c>
      <c r="D92" t="e">
        <f t="shared" si="36"/>
        <v>#N/A</v>
      </c>
      <c r="E92">
        <f>COUNTIFS('Quote Log'!$B:$B,"&lt;&gt;VOID",'Quote Log'!$B:$B,"&lt;&gt;Requoted",'Quote Log'!$H:$H,"&gt;="&amp;DATE(2022,9,11),'Quote Log'!$H:$H,"&lt;="&amp;DATE(2022,9,17))</f>
        <v>0</v>
      </c>
      <c r="F92" t="e">
        <f t="shared" si="37"/>
        <v>#N/A</v>
      </c>
      <c r="G92">
        <f>COUNTIFS('Quote Log'!$C:$C,"&gt;="&amp;DATE(2022,9,11),'Quote Log'!$C:$C,"&lt;="&amp;DATE(2022,9,17),'Quote Log'!$B:$B,"=Purchased")</f>
        <v>0</v>
      </c>
      <c r="H92" t="e">
        <f t="shared" si="38"/>
        <v>#N/A</v>
      </c>
      <c r="I92" s="339">
        <f t="shared" si="34"/>
        <v>0</v>
      </c>
      <c r="J92" s="339" t="e">
        <f t="shared" si="39"/>
        <v>#N/A</v>
      </c>
      <c r="K92">
        <f>COUNTIFS('Quote Log'!$C:$C,"&gt;="&amp;DATE(2022,9,11),'Quote Log'!$C:$C,"&lt;="&amp;DATE(2022,9,17),'Quote Log'!$B:$B,"=LOST")</f>
        <v>0</v>
      </c>
      <c r="L92">
        <f>COUNTIFS('Quote Log'!$B:$B,"&lt;&gt;VOID",'Quote Log'!$B:$B,"&lt;&gt;Requoted",'Quote Log'!$C:$C,"&gt;="&amp;DATE(2022,9,11),'Quote Log'!$C:$C,"&lt;="&amp;DATE(2022,9,17),'Quote Log'!$V:$V,"=new")</f>
        <v>0</v>
      </c>
      <c r="M92" s="349">
        <f t="shared" si="35"/>
        <v>0</v>
      </c>
      <c r="N92" s="339" t="e">
        <f t="shared" si="40"/>
        <v>#N/A</v>
      </c>
      <c r="O92" s="351">
        <f>SUMIFS('Quote Log'!$AB:$AB,'Quote Log'!$C:$C,"&gt;="&amp;DATE(2022,9,11),'Quote Log'!$C:$C,"&lt;="&amp;DATE(2022,9,17),'Quote Log'!$B:$B,"=Purchased",'Quote Log'!$AB:$AB,"&lt;&gt;#VALUE!")</f>
        <v>0</v>
      </c>
      <c r="P92" s="351" t="e">
        <f t="shared" si="41"/>
        <v>#N/A</v>
      </c>
      <c r="Q92" s="349" t="e">
        <f t="shared" si="42"/>
        <v>#DIV/0!</v>
      </c>
      <c r="R92" s="349" t="e">
        <f t="shared" si="43"/>
        <v>#N/A</v>
      </c>
      <c r="S92" s="351">
        <f t="shared" si="47"/>
        <v>0</v>
      </c>
      <c r="T92" s="351" t="e">
        <f t="shared" si="44"/>
        <v>#N/A</v>
      </c>
      <c r="U92" s="349" t="e">
        <f t="shared" si="45"/>
        <v>#DIV/0!</v>
      </c>
      <c r="V92" s="349" t="e">
        <f t="shared" si="46"/>
        <v>#N/A</v>
      </c>
    </row>
    <row r="93" spans="1:22" x14ac:dyDescent="0.25">
      <c r="A93">
        <v>2022</v>
      </c>
      <c r="B93" s="350">
        <v>39</v>
      </c>
      <c r="C93">
        <f>COUNTIFS('Quote Log'!$B:$B,"&lt;&gt;VOID",'Quote Log'!$B:$B,"&lt;&gt;Requoted",'Quote Log'!$C:$C,"&gt;="&amp;DATE(2022,9,18),'Quote Log'!$C:$C,"&lt;="&amp;DATE(2022,9,24))</f>
        <v>0</v>
      </c>
      <c r="D93" t="e">
        <f t="shared" si="36"/>
        <v>#N/A</v>
      </c>
      <c r="E93">
        <f>COUNTIFS('Quote Log'!$B:$B,"&lt;&gt;VOID",'Quote Log'!$B:$B,"&lt;&gt;Requoted",'Quote Log'!$H:$H,"&gt;="&amp;DATE(2022,9,18),'Quote Log'!$H:$H,"&lt;="&amp;DATE(2022,9,24))</f>
        <v>0</v>
      </c>
      <c r="F93" t="e">
        <f t="shared" si="37"/>
        <v>#N/A</v>
      </c>
      <c r="G93">
        <f>COUNTIFS('Quote Log'!$C:$C,"&gt;="&amp;DATE(2022,9,18),'Quote Log'!$C:$C,"&lt;="&amp;DATE(2022,9,24),'Quote Log'!$B:$B,"=Purchased")</f>
        <v>0</v>
      </c>
      <c r="H93" t="e">
        <f t="shared" si="38"/>
        <v>#N/A</v>
      </c>
      <c r="I93" s="339">
        <f t="shared" si="34"/>
        <v>0</v>
      </c>
      <c r="J93" s="339" t="e">
        <f t="shared" si="39"/>
        <v>#N/A</v>
      </c>
      <c r="K93">
        <f>COUNTIFS('Quote Log'!$C:$C,"&gt;="&amp;DATE(2022,9,18),'Quote Log'!$C:$C,"&lt;="&amp;DATE(2022,9,24),'Quote Log'!$B:$B,"=LOST")</f>
        <v>0</v>
      </c>
      <c r="L93">
        <f>COUNTIFS('Quote Log'!$B:$B,"&lt;&gt;VOID",'Quote Log'!$B:$B,"&lt;&gt;Requoted",'Quote Log'!$C:$C,"&gt;="&amp;DATE(2022,9,18),'Quote Log'!$C:$C,"&lt;="&amp;DATE(2022,9,24),'Quote Log'!$V:$V,"=new")</f>
        <v>0</v>
      </c>
      <c r="M93" s="349">
        <f t="shared" si="35"/>
        <v>0</v>
      </c>
      <c r="N93" s="339" t="e">
        <f t="shared" si="40"/>
        <v>#N/A</v>
      </c>
      <c r="O93" s="351">
        <f>SUMIFS('Quote Log'!$AB:$AB,'Quote Log'!$C:$C,"&gt;="&amp;DATE(2022,9,18),'Quote Log'!$C:$C,"&lt;="&amp;DATE(2022,9,24),'Quote Log'!$B:$B,"=Purchased",'Quote Log'!$AB:$AB,"&lt;&gt;#VALUE!")</f>
        <v>0</v>
      </c>
      <c r="P93" s="351" t="e">
        <f t="shared" si="41"/>
        <v>#N/A</v>
      </c>
      <c r="Q93" s="349" t="e">
        <f t="shared" si="42"/>
        <v>#DIV/0!</v>
      </c>
      <c r="R93" s="349" t="e">
        <f t="shared" si="43"/>
        <v>#N/A</v>
      </c>
      <c r="S93" s="351">
        <f t="shared" si="47"/>
        <v>0</v>
      </c>
      <c r="T93" s="351" t="e">
        <f t="shared" si="44"/>
        <v>#N/A</v>
      </c>
      <c r="U93" s="349" t="e">
        <f t="shared" si="45"/>
        <v>#DIV/0!</v>
      </c>
      <c r="V93" s="349" t="e">
        <f t="shared" si="46"/>
        <v>#N/A</v>
      </c>
    </row>
    <row r="94" spans="1:22" x14ac:dyDescent="0.25">
      <c r="A94">
        <v>2022</v>
      </c>
      <c r="B94" s="350">
        <v>40</v>
      </c>
      <c r="C94">
        <f>COUNTIFS('Quote Log'!$B:$B,"&lt;&gt;VOID",'Quote Log'!$B:$B,"&lt;&gt;Requoted",'Quote Log'!$C:$C,"&gt;="&amp;DATE(2022,9,25),'Quote Log'!$C:$C,"&lt;="&amp;DATE(2022,10,1))</f>
        <v>0</v>
      </c>
      <c r="D94" t="e">
        <f t="shared" si="36"/>
        <v>#N/A</v>
      </c>
      <c r="E94">
        <f>COUNTIFS('Quote Log'!$B:$B,"&lt;&gt;VOID",'Quote Log'!$B:$B,"&lt;&gt;Requoted",'Quote Log'!$H:$H,"&gt;="&amp;DATE(2022,9,25),'Quote Log'!$H:$H,"&lt;="&amp;DATE(2022,10,1))</f>
        <v>0</v>
      </c>
      <c r="F94" t="e">
        <f t="shared" si="37"/>
        <v>#N/A</v>
      </c>
      <c r="G94">
        <f>COUNTIFS('Quote Log'!$C:$C,"&gt;="&amp;DATE(2022,9,25),'Quote Log'!$C:$C,"&lt;="&amp;DATE(2022,10,1),'Quote Log'!$B:$B,"=Purchased")</f>
        <v>0</v>
      </c>
      <c r="H94" t="e">
        <f t="shared" si="38"/>
        <v>#N/A</v>
      </c>
      <c r="I94" s="339">
        <f t="shared" si="34"/>
        <v>0</v>
      </c>
      <c r="J94" s="339" t="e">
        <f t="shared" si="39"/>
        <v>#N/A</v>
      </c>
      <c r="K94">
        <f>COUNTIFS('Quote Log'!$C:$C,"&gt;="&amp;DATE(2022,9,25),'Quote Log'!$C:$C,"&lt;="&amp;DATE(2022,10,1),'Quote Log'!$B:$B,"=LOST")</f>
        <v>0</v>
      </c>
      <c r="L94">
        <f>COUNTIFS('Quote Log'!$B:$B,"&lt;&gt;VOID",'Quote Log'!$B:$B,"&lt;&gt;Requoted",'Quote Log'!$C:$C,"&gt;="&amp;DATE(2022,9,25),'Quote Log'!$C:$C,"&lt;="&amp;DATE(2022,10,1),'Quote Log'!$V:$V,"=new")</f>
        <v>0</v>
      </c>
      <c r="M94" s="349">
        <f t="shared" si="35"/>
        <v>0</v>
      </c>
      <c r="N94" s="339" t="e">
        <f t="shared" si="40"/>
        <v>#N/A</v>
      </c>
      <c r="O94" s="351">
        <f>SUMIFS('Quote Log'!$AB:$AB,'Quote Log'!$C:$C,"&gt;="&amp;DATE(2022,9,25),'Quote Log'!$C:$C,"&lt;="&amp;DATE(2022,10,1),'Quote Log'!$B:$B,"=Purchased",'Quote Log'!$AB:$AB,"&lt;&gt;#VALUE!")</f>
        <v>0</v>
      </c>
      <c r="P94" s="351" t="e">
        <f t="shared" si="41"/>
        <v>#N/A</v>
      </c>
      <c r="Q94" s="349" t="e">
        <f t="shared" si="42"/>
        <v>#DIV/0!</v>
      </c>
      <c r="R94" s="349" t="e">
        <f t="shared" si="43"/>
        <v>#N/A</v>
      </c>
      <c r="S94" s="351">
        <f t="shared" si="47"/>
        <v>0</v>
      </c>
      <c r="T94" s="351" t="e">
        <f t="shared" si="44"/>
        <v>#N/A</v>
      </c>
      <c r="U94" s="349" t="e">
        <f t="shared" si="45"/>
        <v>#DIV/0!</v>
      </c>
      <c r="V94" s="349" t="e">
        <f t="shared" si="46"/>
        <v>#N/A</v>
      </c>
    </row>
    <row r="95" spans="1:22" x14ac:dyDescent="0.25">
      <c r="A95">
        <v>2022</v>
      </c>
      <c r="B95" s="350">
        <v>41</v>
      </c>
      <c r="C95">
        <f>COUNTIFS('Quote Log'!$B:$B,"&lt;&gt;VOID",'Quote Log'!$B:$B,"&lt;&gt;Requoted",'Quote Log'!$C:$C,"&gt;="&amp;DATE(2022,10,2),'Quote Log'!$C:$C,"&lt;="&amp;DATE(2022,10,8))</f>
        <v>0</v>
      </c>
      <c r="D95" t="e">
        <f t="shared" si="36"/>
        <v>#N/A</v>
      </c>
      <c r="E95">
        <f>COUNTIFS('Quote Log'!$B:$B,"&lt;&gt;VOID",'Quote Log'!$B:$B,"&lt;&gt;Requoted",'Quote Log'!$H:$H,"&gt;="&amp;DATE(2022,10,2),'Quote Log'!$H:$H,"&lt;="&amp;DATE(2022,10,8))</f>
        <v>0</v>
      </c>
      <c r="F95" t="e">
        <f t="shared" si="37"/>
        <v>#N/A</v>
      </c>
      <c r="G95">
        <f>COUNTIFS('Quote Log'!$C:$C,"&gt;="&amp;DATE(2022,10,2),'Quote Log'!$C:$C,"&lt;="&amp;DATE(2022,10,8),'Quote Log'!$B:$B,"=Purchased")</f>
        <v>0</v>
      </c>
      <c r="H95" t="e">
        <f t="shared" si="38"/>
        <v>#N/A</v>
      </c>
      <c r="I95" s="339">
        <f t="shared" si="34"/>
        <v>0</v>
      </c>
      <c r="J95" s="339" t="e">
        <f t="shared" si="39"/>
        <v>#N/A</v>
      </c>
      <c r="K95">
        <f>COUNTIFS('Quote Log'!$C:$C,"&gt;="&amp;DATE(2022,10,2),'Quote Log'!$C:$C,"&lt;="&amp;DATE(2022,10,8),'Quote Log'!$B:$B,"=LOST")</f>
        <v>0</v>
      </c>
      <c r="L95">
        <f>COUNTIFS('Quote Log'!$B:$B,"&lt;&gt;VOID",'Quote Log'!$B:$B,"&lt;&gt;Requoted",'Quote Log'!$C:$C,"&gt;="&amp;DATE(2022,10,2),'Quote Log'!$C:$C,"&lt;="&amp;DATE(2022,10,8),'Quote Log'!$V:$V,"=new")</f>
        <v>0</v>
      </c>
      <c r="M95" s="349">
        <f t="shared" si="35"/>
        <v>0</v>
      </c>
      <c r="N95" s="339" t="e">
        <f t="shared" si="40"/>
        <v>#N/A</v>
      </c>
      <c r="O95" s="351">
        <f>SUMIFS('Quote Log'!$AB:$AB,'Quote Log'!$C:$C,"&gt;="&amp;DATE(2022,10,2),'Quote Log'!$C:$C,"&lt;="&amp;DATE(2022,10,8),'Quote Log'!$B:$B,"=Purchased",'Quote Log'!$AB:$AB,"&lt;&gt;#VALUE!")</f>
        <v>0</v>
      </c>
      <c r="P95" s="351" t="e">
        <f t="shared" si="41"/>
        <v>#N/A</v>
      </c>
      <c r="Q95" s="349" t="e">
        <f t="shared" si="42"/>
        <v>#DIV/0!</v>
      </c>
      <c r="R95" s="349" t="e">
        <f t="shared" si="43"/>
        <v>#N/A</v>
      </c>
      <c r="S95" s="351">
        <f t="shared" si="47"/>
        <v>0</v>
      </c>
      <c r="T95" s="351" t="e">
        <f t="shared" si="44"/>
        <v>#N/A</v>
      </c>
      <c r="U95" s="349" t="e">
        <f t="shared" si="45"/>
        <v>#DIV/0!</v>
      </c>
      <c r="V95" s="349" t="e">
        <f t="shared" si="46"/>
        <v>#N/A</v>
      </c>
    </row>
    <row r="96" spans="1:22" x14ac:dyDescent="0.25">
      <c r="A96">
        <v>2022</v>
      </c>
      <c r="B96" s="350">
        <v>42</v>
      </c>
      <c r="C96">
        <f>COUNTIFS('Quote Log'!$B:$B,"&lt;&gt;VOID",'Quote Log'!$B:$B,"&lt;&gt;Requoted",'Quote Log'!$C:$C,"&gt;="&amp;DATE(2022,10,9),'Quote Log'!$C:$C,"&lt;="&amp;DATE(2022,10,15))</f>
        <v>0</v>
      </c>
      <c r="D96" t="e">
        <f t="shared" si="36"/>
        <v>#N/A</v>
      </c>
      <c r="E96">
        <f>COUNTIFS('Quote Log'!$B:$B,"&lt;&gt;VOID",'Quote Log'!$B:$B,"&lt;&gt;Requoted",'Quote Log'!$H:$H,"&gt;="&amp;DATE(2022,10,9),'Quote Log'!$H:$H,"&lt;="&amp;DATE(2022,10,15))</f>
        <v>0</v>
      </c>
      <c r="F96" t="e">
        <f t="shared" si="37"/>
        <v>#N/A</v>
      </c>
      <c r="G96">
        <f>COUNTIFS('Quote Log'!$C:$C,"&gt;="&amp;DATE(2022,10,9),'Quote Log'!$C:$C,"&lt;="&amp;DATE(2022,10,15),'Quote Log'!$B:$B,"=Purchased")</f>
        <v>0</v>
      </c>
      <c r="H96" t="e">
        <f t="shared" si="38"/>
        <v>#N/A</v>
      </c>
      <c r="I96" s="339">
        <f t="shared" si="34"/>
        <v>0</v>
      </c>
      <c r="J96" s="339" t="e">
        <f t="shared" si="39"/>
        <v>#N/A</v>
      </c>
      <c r="K96">
        <f>COUNTIFS('Quote Log'!$C:$C,"&gt;="&amp;DATE(2022,10,9),'Quote Log'!$C:$C,"&lt;="&amp;DATE(2022,10,15),'Quote Log'!$B:$B,"=LOST")</f>
        <v>0</v>
      </c>
      <c r="L96">
        <f>COUNTIFS('Quote Log'!$B:$B,"&lt;&gt;VOID",'Quote Log'!$B:$B,"&lt;&gt;Requoted",'Quote Log'!$C:$C,"&gt;="&amp;DATE(2022,10,9),'Quote Log'!$C:$C,"&lt;="&amp;DATE(2022,10,15),'Quote Log'!$V:$V,"=new")</f>
        <v>0</v>
      </c>
      <c r="M96" s="349">
        <f t="shared" si="35"/>
        <v>0</v>
      </c>
      <c r="N96" s="339" t="e">
        <f t="shared" si="40"/>
        <v>#N/A</v>
      </c>
      <c r="O96" s="351">
        <f>SUMIFS('Quote Log'!$AB:$AB,'Quote Log'!$C:$C,"&gt;="&amp;DATE(2022,10,9),'Quote Log'!$C:$C,"&lt;="&amp;DATE(2022,10,15),'Quote Log'!$B:$B,"=Purchased",'Quote Log'!$AB:$AB,"&lt;&gt;#VALUE!")</f>
        <v>0</v>
      </c>
      <c r="P96" s="351" t="e">
        <f t="shared" si="41"/>
        <v>#N/A</v>
      </c>
      <c r="Q96" s="349" t="e">
        <f t="shared" si="42"/>
        <v>#DIV/0!</v>
      </c>
      <c r="R96" s="349" t="e">
        <f t="shared" si="43"/>
        <v>#N/A</v>
      </c>
      <c r="S96" s="351">
        <f t="shared" si="47"/>
        <v>0</v>
      </c>
      <c r="T96" s="351" t="e">
        <f t="shared" si="44"/>
        <v>#N/A</v>
      </c>
      <c r="U96" s="349" t="e">
        <f t="shared" si="45"/>
        <v>#DIV/0!</v>
      </c>
      <c r="V96" s="349" t="e">
        <f t="shared" si="46"/>
        <v>#N/A</v>
      </c>
    </row>
    <row r="97" spans="1:22" x14ac:dyDescent="0.25">
      <c r="A97">
        <v>2022</v>
      </c>
      <c r="B97" s="350">
        <v>43</v>
      </c>
      <c r="C97">
        <f>COUNTIFS('Quote Log'!$B:$B,"&lt;&gt;VOID",'Quote Log'!$B:$B,"&lt;&gt;Requoted",'Quote Log'!$C:$C,"&gt;="&amp;DATE(2022,10,16),'Quote Log'!$C:$C,"&lt;="&amp;DATE(2022,10,22))</f>
        <v>0</v>
      </c>
      <c r="D97" t="e">
        <f t="shared" si="36"/>
        <v>#N/A</v>
      </c>
      <c r="E97">
        <f>COUNTIFS('Quote Log'!$B:$B,"&lt;&gt;VOID",'Quote Log'!$B:$B,"&lt;&gt;Requoted",'Quote Log'!$H:$H,"&gt;="&amp;DATE(2022,10,16),'Quote Log'!$H:$H,"&lt;="&amp;DATE(2022,10,22))</f>
        <v>0</v>
      </c>
      <c r="F97" t="e">
        <f t="shared" si="37"/>
        <v>#N/A</v>
      </c>
      <c r="G97">
        <f>COUNTIFS('Quote Log'!$C:$C,"&gt;="&amp;DATE(2022,10,16),'Quote Log'!$C:$C,"&lt;="&amp;DATE(2022,10,22),'Quote Log'!$B:$B,"=Purchased")</f>
        <v>0</v>
      </c>
      <c r="H97" t="e">
        <f t="shared" si="38"/>
        <v>#N/A</v>
      </c>
      <c r="I97" s="339">
        <f t="shared" si="34"/>
        <v>0</v>
      </c>
      <c r="J97" s="339" t="e">
        <f t="shared" si="39"/>
        <v>#N/A</v>
      </c>
      <c r="K97">
        <f>COUNTIFS('Quote Log'!$C:$C,"&gt;="&amp;DATE(2022,10,16),'Quote Log'!$C:$C,"&lt;="&amp;DATE(2022,10,22),'Quote Log'!$B:$B,"=LOST")</f>
        <v>0</v>
      </c>
      <c r="L97">
        <f>COUNTIFS('Quote Log'!$B:$B,"&lt;&gt;VOID",'Quote Log'!$B:$B,"&lt;&gt;Requoted",'Quote Log'!$C:$C,"&gt;="&amp;DATE(2022,10,16),'Quote Log'!$C:$C,"&lt;="&amp;DATE(2022,10,22),'Quote Log'!$V:$V,"=new")</f>
        <v>0</v>
      </c>
      <c r="M97" s="349">
        <f t="shared" si="35"/>
        <v>0</v>
      </c>
      <c r="N97" s="339" t="e">
        <f t="shared" si="40"/>
        <v>#N/A</v>
      </c>
      <c r="O97" s="351">
        <f>SUMIFS('Quote Log'!$AB:$AB,'Quote Log'!$C:$C,"&gt;="&amp;DATE(2022,10,16),'Quote Log'!$C:$C,"&lt;="&amp;DATE(2022,10,22),'Quote Log'!$B:$B,"=Purchased",'Quote Log'!$AB:$AB,"&lt;&gt;#VALUE!")</f>
        <v>0</v>
      </c>
      <c r="P97" s="351" t="e">
        <f t="shared" si="41"/>
        <v>#N/A</v>
      </c>
      <c r="Q97" s="349" t="e">
        <f t="shared" si="42"/>
        <v>#DIV/0!</v>
      </c>
      <c r="R97" s="349" t="e">
        <f t="shared" si="43"/>
        <v>#N/A</v>
      </c>
      <c r="S97" s="351">
        <f t="shared" si="47"/>
        <v>0</v>
      </c>
      <c r="T97" s="351" t="e">
        <f t="shared" si="44"/>
        <v>#N/A</v>
      </c>
      <c r="U97" s="349" t="e">
        <f t="shared" si="45"/>
        <v>#DIV/0!</v>
      </c>
      <c r="V97" s="349" t="e">
        <f t="shared" si="46"/>
        <v>#N/A</v>
      </c>
    </row>
    <row r="98" spans="1:22" x14ac:dyDescent="0.25">
      <c r="A98">
        <v>2022</v>
      </c>
      <c r="B98" s="350">
        <v>44</v>
      </c>
      <c r="C98">
        <f>COUNTIFS('Quote Log'!$B:$B,"&lt;&gt;VOID",'Quote Log'!$B:$B,"&lt;&gt;Requoted",'Quote Log'!$C:$C,"&gt;="&amp;DATE(2022,10,23),'Quote Log'!$C:$C,"&lt;="&amp;DATE(2022,10,29))</f>
        <v>0</v>
      </c>
      <c r="D98" t="e">
        <f t="shared" si="36"/>
        <v>#N/A</v>
      </c>
      <c r="E98">
        <f>COUNTIFS('Quote Log'!$B:$B,"&lt;&gt;VOID",'Quote Log'!$B:$B,"&lt;&gt;Requoted",'Quote Log'!$H:$H,"&gt;="&amp;DATE(2022,10,23),'Quote Log'!$H:$H,"&lt;="&amp;DATE(2022,10,29))</f>
        <v>0</v>
      </c>
      <c r="F98" t="e">
        <f t="shared" si="37"/>
        <v>#N/A</v>
      </c>
      <c r="G98">
        <f>COUNTIFS('Quote Log'!$C:$C,"&gt;="&amp;DATE(2022,10,23),'Quote Log'!$C:$C,"&lt;="&amp;DATE(2022,10,29),'Quote Log'!$B:$B,"=Purchased")</f>
        <v>0</v>
      </c>
      <c r="H98" t="e">
        <f t="shared" si="38"/>
        <v>#N/A</v>
      </c>
      <c r="I98" s="339">
        <f t="shared" si="34"/>
        <v>0</v>
      </c>
      <c r="J98" s="339" t="e">
        <f t="shared" si="39"/>
        <v>#N/A</v>
      </c>
      <c r="K98">
        <f>COUNTIFS('Quote Log'!$C:$C,"&gt;="&amp;DATE(2022,10,23),'Quote Log'!$C:$C,"&lt;="&amp;DATE(2022,10,29),'Quote Log'!$B:$B,"=LOST")</f>
        <v>0</v>
      </c>
      <c r="L98">
        <f>COUNTIFS('Quote Log'!$B:$B,"&lt;&gt;VOID",'Quote Log'!$B:$B,"&lt;&gt;Requoted",'Quote Log'!$C:$C,"&gt;="&amp;DATE(2022,10,23),'Quote Log'!$C:$C,"&lt;="&amp;DATE(2022,10,29),'Quote Log'!$V:$V,"=new")</f>
        <v>0</v>
      </c>
      <c r="M98" s="349">
        <f t="shared" si="35"/>
        <v>0</v>
      </c>
      <c r="N98" s="339" t="e">
        <f t="shared" si="40"/>
        <v>#N/A</v>
      </c>
      <c r="O98" s="351">
        <f>SUMIFS('Quote Log'!$AB:$AB,'Quote Log'!$C:$C,"&gt;="&amp;DATE(2022,10,23),'Quote Log'!$C:$C,"&lt;="&amp;DATE(2022,10,29),'Quote Log'!$B:$B,"=Purchased",'Quote Log'!$AB:$AB,"&lt;&gt;#VALUE!")</f>
        <v>0</v>
      </c>
      <c r="P98" s="351" t="e">
        <f t="shared" si="41"/>
        <v>#N/A</v>
      </c>
      <c r="Q98" s="349" t="e">
        <f t="shared" si="42"/>
        <v>#DIV/0!</v>
      </c>
      <c r="R98" s="349" t="e">
        <f t="shared" si="43"/>
        <v>#N/A</v>
      </c>
      <c r="S98" s="351">
        <f t="shared" si="47"/>
        <v>0</v>
      </c>
      <c r="T98" s="351" t="e">
        <f t="shared" si="44"/>
        <v>#N/A</v>
      </c>
      <c r="U98" s="349" t="e">
        <f t="shared" si="45"/>
        <v>#DIV/0!</v>
      </c>
      <c r="V98" s="349" t="e">
        <f t="shared" si="46"/>
        <v>#N/A</v>
      </c>
    </row>
    <row r="99" spans="1:22" x14ac:dyDescent="0.25">
      <c r="A99">
        <v>2022</v>
      </c>
      <c r="B99" s="350">
        <v>45</v>
      </c>
      <c r="C99">
        <f>COUNTIFS('Quote Log'!$B:$B,"&lt;&gt;VOID",'Quote Log'!$B:$B,"&lt;&gt;Requoted",'Quote Log'!$C:$C,"&gt;="&amp;DATE(2022,10,30),'Quote Log'!$C:$C,"&lt;="&amp;DATE(2022,11,5))</f>
        <v>0</v>
      </c>
      <c r="D99" t="e">
        <f t="shared" si="36"/>
        <v>#N/A</v>
      </c>
      <c r="E99">
        <f>COUNTIFS('Quote Log'!$B:$B,"&lt;&gt;VOID",'Quote Log'!$B:$B,"&lt;&gt;Requoted",'Quote Log'!$H:$H,"&gt;="&amp;DATE(2022,10,30),'Quote Log'!$H:$H,"&lt;="&amp;DATE(2022,11,5))</f>
        <v>0</v>
      </c>
      <c r="F99" t="e">
        <f t="shared" si="37"/>
        <v>#N/A</v>
      </c>
      <c r="G99">
        <f>COUNTIFS('Quote Log'!$C:$C,"&gt;="&amp;DATE(2022,10,30),'Quote Log'!$C:$C,"&lt;="&amp;DATE(2022,11,5),'Quote Log'!$B:$B,"=Purchased")</f>
        <v>0</v>
      </c>
      <c r="H99" t="e">
        <f t="shared" si="38"/>
        <v>#N/A</v>
      </c>
      <c r="I99" s="339">
        <f t="shared" si="34"/>
        <v>0</v>
      </c>
      <c r="J99" s="339" t="e">
        <f t="shared" si="39"/>
        <v>#N/A</v>
      </c>
      <c r="K99">
        <f>COUNTIFS('Quote Log'!$C:$C,"&gt;="&amp;DATE(2022,10,30),'Quote Log'!$C:$C,"&lt;="&amp;DATE(2022,11,5),'Quote Log'!$B:$B,"=LOST")</f>
        <v>0</v>
      </c>
      <c r="L99">
        <f>COUNTIFS('Quote Log'!$B:$B,"&lt;&gt;VOID",'Quote Log'!$B:$B,"&lt;&gt;Requoted",'Quote Log'!$C:$C,"&gt;="&amp;DATE(2022,10,30),'Quote Log'!$C:$C,"&lt;="&amp;DATE(2022,11,5),'Quote Log'!$V:$V,"=new")</f>
        <v>0</v>
      </c>
      <c r="M99" s="349">
        <f t="shared" si="35"/>
        <v>0</v>
      </c>
      <c r="N99" s="339" t="e">
        <f t="shared" si="40"/>
        <v>#N/A</v>
      </c>
      <c r="O99" s="351">
        <f>SUMIFS('Quote Log'!$AB:$AB,'Quote Log'!$C:$C,"&gt;="&amp;DATE(2022,10,30),'Quote Log'!$C:$C,"&lt;="&amp;DATE(2022,11,5),'Quote Log'!$B:$B,"=Purchased",'Quote Log'!$AB:$AB,"&lt;&gt;#VALUE!")</f>
        <v>0</v>
      </c>
      <c r="P99" s="351" t="e">
        <f t="shared" si="41"/>
        <v>#N/A</v>
      </c>
      <c r="Q99" s="349" t="e">
        <f t="shared" si="42"/>
        <v>#DIV/0!</v>
      </c>
      <c r="R99" s="349" t="e">
        <f t="shared" si="43"/>
        <v>#N/A</v>
      </c>
      <c r="S99" s="351">
        <f t="shared" si="47"/>
        <v>0</v>
      </c>
      <c r="T99" s="351" t="e">
        <f t="shared" si="44"/>
        <v>#N/A</v>
      </c>
      <c r="U99" s="349" t="e">
        <f t="shared" si="45"/>
        <v>#DIV/0!</v>
      </c>
      <c r="V99" s="349" t="e">
        <f t="shared" si="46"/>
        <v>#N/A</v>
      </c>
    </row>
    <row r="100" spans="1:22" x14ac:dyDescent="0.25">
      <c r="A100">
        <v>2022</v>
      </c>
      <c r="B100" s="350">
        <v>46</v>
      </c>
      <c r="C100">
        <f>COUNTIFS('Quote Log'!$B:$B,"&lt;&gt;VOID",'Quote Log'!$B:$B,"&lt;&gt;Requoted",'Quote Log'!$C:$C,"&gt;="&amp;DATE(2022,11,6),'Quote Log'!$C:$C,"&lt;="&amp;DATE(2022,11,12))</f>
        <v>0</v>
      </c>
      <c r="D100" t="e">
        <f t="shared" si="36"/>
        <v>#N/A</v>
      </c>
      <c r="E100">
        <f>COUNTIFS('Quote Log'!$B:$B,"&lt;&gt;VOID",'Quote Log'!$B:$B,"&lt;&gt;Requoted",'Quote Log'!$H:$H,"&gt;="&amp;DATE(2022,11,6),'Quote Log'!$H:$H,"&lt;="&amp;DATE(2022,11,12))</f>
        <v>0</v>
      </c>
      <c r="F100" t="e">
        <f t="shared" si="37"/>
        <v>#N/A</v>
      </c>
      <c r="G100">
        <f>COUNTIFS('Quote Log'!$C:$C,"&gt;="&amp;DATE(2022,11,6),'Quote Log'!$C:$C,"&lt;="&amp;DATE(2022,11,12),'Quote Log'!$B:$B,"=Purchased")</f>
        <v>0</v>
      </c>
      <c r="H100" t="e">
        <f t="shared" si="38"/>
        <v>#N/A</v>
      </c>
      <c r="I100" s="339">
        <f t="shared" si="34"/>
        <v>0</v>
      </c>
      <c r="J100" s="339" t="e">
        <f t="shared" si="39"/>
        <v>#N/A</v>
      </c>
      <c r="K100">
        <f>COUNTIFS('Quote Log'!$C:$C,"&gt;="&amp;DATE(2022,11,6),'Quote Log'!$C:$C,"&lt;="&amp;DATE(2022,11,12),'Quote Log'!$B:$B,"=LOST")</f>
        <v>0</v>
      </c>
      <c r="L100">
        <f>COUNTIFS('Quote Log'!$B:$B,"&lt;&gt;VOID",'Quote Log'!$B:$B,"&lt;&gt;Requoted",'Quote Log'!$C:$C,"&gt;="&amp;DATE(2022,11,6),'Quote Log'!$C:$C,"&lt;="&amp;DATE(2022,11,12),'Quote Log'!$V:$V,"=new")</f>
        <v>0</v>
      </c>
      <c r="M100" s="349">
        <f t="shared" si="35"/>
        <v>0</v>
      </c>
      <c r="N100" s="339" t="e">
        <f t="shared" si="40"/>
        <v>#N/A</v>
      </c>
      <c r="O100" s="351">
        <f>SUMIFS('Quote Log'!$AB:$AB,'Quote Log'!$C:$C,"&gt;="&amp;DATE(2022,11,6),'Quote Log'!$C:$C,"&lt;="&amp;DATE(2022,11,12),'Quote Log'!$B:$B,"=Purchased",'Quote Log'!$AB:$AB,"&lt;&gt;#VALUE!")</f>
        <v>0</v>
      </c>
      <c r="P100" s="351" t="e">
        <f t="shared" si="41"/>
        <v>#N/A</v>
      </c>
      <c r="Q100" s="349" t="e">
        <f t="shared" si="42"/>
        <v>#DIV/0!</v>
      </c>
      <c r="R100" s="349" t="e">
        <f t="shared" si="43"/>
        <v>#N/A</v>
      </c>
      <c r="S100" s="351">
        <f t="shared" si="47"/>
        <v>0</v>
      </c>
      <c r="T100" s="351" t="e">
        <f t="shared" si="44"/>
        <v>#N/A</v>
      </c>
      <c r="U100" s="349" t="e">
        <f t="shared" si="45"/>
        <v>#DIV/0!</v>
      </c>
      <c r="V100" s="349" t="e">
        <f t="shared" si="46"/>
        <v>#N/A</v>
      </c>
    </row>
    <row r="101" spans="1:22" x14ac:dyDescent="0.25">
      <c r="A101">
        <v>2022</v>
      </c>
      <c r="B101" s="350">
        <v>47</v>
      </c>
      <c r="C101">
        <f>COUNTIFS('Quote Log'!$B:$B,"&lt;&gt;VOID",'Quote Log'!$B:$B,"&lt;&gt;Requoted",'Quote Log'!$C:$C,"&gt;="&amp;DATE(2022,11,13),'Quote Log'!$C:$C,"&lt;="&amp;DATE(2022,11,19))</f>
        <v>0</v>
      </c>
      <c r="D101" t="e">
        <f t="shared" si="36"/>
        <v>#N/A</v>
      </c>
      <c r="E101">
        <f>COUNTIFS('Quote Log'!$B:$B,"&lt;&gt;VOID",'Quote Log'!$B:$B,"&lt;&gt;Requoted",'Quote Log'!$H:$H,"&gt;="&amp;DATE(2022,11,13),'Quote Log'!$H:$H,"&lt;="&amp;DATE(2022,11,19))</f>
        <v>0</v>
      </c>
      <c r="F101" t="e">
        <f t="shared" si="37"/>
        <v>#N/A</v>
      </c>
      <c r="G101">
        <f>COUNTIFS('Quote Log'!$C:$C,"&gt;="&amp;DATE(2022,11,13),'Quote Log'!$C:$C,"&lt;="&amp;DATE(2022,11,19),'Quote Log'!$B:$B,"=Purchased")</f>
        <v>0</v>
      </c>
      <c r="H101" t="e">
        <f t="shared" si="38"/>
        <v>#N/A</v>
      </c>
      <c r="I101" s="339">
        <f t="shared" si="34"/>
        <v>0</v>
      </c>
      <c r="J101" s="339" t="e">
        <f t="shared" si="39"/>
        <v>#N/A</v>
      </c>
      <c r="K101">
        <f>COUNTIFS('Quote Log'!$C:$C,"&gt;="&amp;DATE(2022,11,13),'Quote Log'!$C:$C,"&lt;="&amp;DATE(2022,11,19),'Quote Log'!$B:$B,"=LOST")</f>
        <v>0</v>
      </c>
      <c r="L101">
        <f>COUNTIFS('Quote Log'!$B:$B,"&lt;&gt;VOID",'Quote Log'!$B:$B,"&lt;&gt;Requoted",'Quote Log'!$C:$C,"&gt;="&amp;DATE(2022,11,13),'Quote Log'!$C:$C,"&lt;="&amp;DATE(2022,11,19),'Quote Log'!$V:$V,"=new")</f>
        <v>0</v>
      </c>
      <c r="M101" s="349">
        <f t="shared" si="35"/>
        <v>0</v>
      </c>
      <c r="N101" s="339" t="e">
        <f t="shared" si="40"/>
        <v>#N/A</v>
      </c>
      <c r="O101" s="351">
        <f>SUMIFS('Quote Log'!$AB:$AB,'Quote Log'!$C:$C,"&gt;="&amp;DATE(2022,11,13),'Quote Log'!$C:$C,"&lt;="&amp;DATE(2022,11,19),'Quote Log'!$B:$B,"=Purchased",'Quote Log'!$AB:$AB,"&lt;&gt;#VALUE!")</f>
        <v>0</v>
      </c>
      <c r="P101" s="351" t="e">
        <f t="shared" si="41"/>
        <v>#N/A</v>
      </c>
      <c r="Q101" s="349" t="e">
        <f t="shared" si="42"/>
        <v>#DIV/0!</v>
      </c>
      <c r="R101" s="349" t="e">
        <f t="shared" si="43"/>
        <v>#N/A</v>
      </c>
      <c r="S101" s="351">
        <f t="shared" si="47"/>
        <v>0</v>
      </c>
      <c r="T101" s="351" t="e">
        <f t="shared" si="44"/>
        <v>#N/A</v>
      </c>
      <c r="U101" s="349" t="e">
        <f t="shared" si="45"/>
        <v>#DIV/0!</v>
      </c>
      <c r="V101" s="349" t="e">
        <f t="shared" si="46"/>
        <v>#N/A</v>
      </c>
    </row>
    <row r="102" spans="1:22" x14ac:dyDescent="0.25">
      <c r="A102">
        <v>2022</v>
      </c>
      <c r="B102" s="350">
        <v>48</v>
      </c>
      <c r="C102">
        <f>COUNTIFS('Quote Log'!$B:$B,"&lt;&gt;VOID",'Quote Log'!$B:$B,"&lt;&gt;Requoted",'Quote Log'!$C:$C,"&gt;="&amp;DATE(2022,11,20),'Quote Log'!$C:$C,"&lt;="&amp;DATE(2022,11,26))</f>
        <v>0</v>
      </c>
      <c r="D102" t="e">
        <f t="shared" si="36"/>
        <v>#N/A</v>
      </c>
      <c r="E102">
        <f>COUNTIFS('Quote Log'!$B:$B,"&lt;&gt;VOID",'Quote Log'!$B:$B,"&lt;&gt;Requoted",'Quote Log'!$H:$H,"&gt;="&amp;DATE(2022,11,20),'Quote Log'!$H:$H,"&lt;="&amp;DATE(2022,11,26))</f>
        <v>0</v>
      </c>
      <c r="F102" t="e">
        <f t="shared" si="37"/>
        <v>#N/A</v>
      </c>
      <c r="G102">
        <f>COUNTIFS('Quote Log'!$C:$C,"&gt;="&amp;DATE(2022,11,20),'Quote Log'!$C:$C,"&lt;="&amp;DATE(2022,11,26),'Quote Log'!$B:$B,"=Purchased")</f>
        <v>0</v>
      </c>
      <c r="H102" t="e">
        <f t="shared" si="38"/>
        <v>#N/A</v>
      </c>
      <c r="I102" s="339">
        <f t="shared" si="34"/>
        <v>0</v>
      </c>
      <c r="J102" s="339" t="e">
        <f t="shared" si="39"/>
        <v>#N/A</v>
      </c>
      <c r="K102">
        <f>COUNTIFS('Quote Log'!$C:$C,"&gt;="&amp;DATE(2022,11,20),'Quote Log'!$C:$C,"&lt;="&amp;DATE(2022,11,26),'Quote Log'!$B:$B,"=LOST")</f>
        <v>0</v>
      </c>
      <c r="L102">
        <f>COUNTIFS('Quote Log'!$B:$B,"&lt;&gt;VOID",'Quote Log'!$B:$B,"&lt;&gt;Requoted",'Quote Log'!$C:$C,"&gt;="&amp;DATE(2022,11,20),'Quote Log'!$C:$C,"&lt;="&amp;DATE(2022,11,26),'Quote Log'!$V:$V,"=new")</f>
        <v>0</v>
      </c>
      <c r="M102" s="349">
        <f t="shared" si="35"/>
        <v>0</v>
      </c>
      <c r="N102" s="339" t="e">
        <f t="shared" si="40"/>
        <v>#N/A</v>
      </c>
      <c r="O102" s="351">
        <f>SUMIFS('Quote Log'!$AB:$AB,'Quote Log'!$C:$C,"&gt;="&amp;DATE(2022,11,20),'Quote Log'!$C:$C,"&lt;="&amp;DATE(2022,11,26),'Quote Log'!$B:$B,"=Purchased",'Quote Log'!$AB:$AB,"&lt;&gt;#VALUE!")</f>
        <v>0</v>
      </c>
      <c r="P102" s="351" t="e">
        <f t="shared" si="41"/>
        <v>#N/A</v>
      </c>
      <c r="Q102" s="349" t="e">
        <f t="shared" si="42"/>
        <v>#DIV/0!</v>
      </c>
      <c r="R102" s="349" t="e">
        <f t="shared" si="43"/>
        <v>#N/A</v>
      </c>
      <c r="S102" s="351">
        <f t="shared" si="47"/>
        <v>0</v>
      </c>
      <c r="T102" s="351" t="e">
        <f t="shared" si="44"/>
        <v>#N/A</v>
      </c>
      <c r="U102" s="349" t="e">
        <f t="shared" si="45"/>
        <v>#DIV/0!</v>
      </c>
      <c r="V102" s="349" t="e">
        <f t="shared" si="46"/>
        <v>#N/A</v>
      </c>
    </row>
    <row r="103" spans="1:22" x14ac:dyDescent="0.25">
      <c r="A103">
        <v>2022</v>
      </c>
      <c r="B103" s="350">
        <v>49</v>
      </c>
      <c r="C103">
        <f>COUNTIFS('Quote Log'!$B:$B,"&lt;&gt;VOID",'Quote Log'!$B:$B,"&lt;&gt;Requoted",'Quote Log'!$C:$C,"&gt;="&amp;DATE(2022,11,27),'Quote Log'!$C:$C,"&lt;="&amp;DATE(2022,12,3))</f>
        <v>0</v>
      </c>
      <c r="D103" t="e">
        <f t="shared" si="36"/>
        <v>#N/A</v>
      </c>
      <c r="E103">
        <f>COUNTIFS('Quote Log'!$B:$B,"&lt;&gt;VOID",'Quote Log'!$B:$B,"&lt;&gt;Requoted",'Quote Log'!$H:$H,"&gt;="&amp;DATE(2022,11,27),'Quote Log'!$H:$H,"&lt;="&amp;DATE(2022,12,3))</f>
        <v>0</v>
      </c>
      <c r="F103" t="e">
        <f t="shared" si="37"/>
        <v>#N/A</v>
      </c>
      <c r="G103">
        <f>COUNTIFS('Quote Log'!$C:$C,"&gt;="&amp;DATE(2022,11,27),'Quote Log'!$C:$C,"&lt;="&amp;DATE(2022,12,3),'Quote Log'!$B:$B,"=Purchased")</f>
        <v>0</v>
      </c>
      <c r="H103" t="e">
        <f t="shared" si="38"/>
        <v>#N/A</v>
      </c>
      <c r="I103" s="339">
        <f t="shared" si="34"/>
        <v>0</v>
      </c>
      <c r="J103" s="339" t="e">
        <f t="shared" si="39"/>
        <v>#N/A</v>
      </c>
      <c r="K103">
        <f>COUNTIFS('Quote Log'!$C:$C,"&gt;="&amp;DATE(2022,11,27),'Quote Log'!$C:$C,"&lt;="&amp;DATE(2022,12,3),'Quote Log'!$B:$B,"=LOST")</f>
        <v>0</v>
      </c>
      <c r="L103">
        <f>COUNTIFS('Quote Log'!$B:$B,"&lt;&gt;VOID",'Quote Log'!$B:$B,"&lt;&gt;Requoted",'Quote Log'!$C:$C,"&gt;="&amp;DATE(2022,11,27),'Quote Log'!$C:$C,"&lt;="&amp;DATE(2022,12,3),'Quote Log'!$V:$V,"=new")</f>
        <v>0</v>
      </c>
      <c r="M103" s="349">
        <f t="shared" si="35"/>
        <v>0</v>
      </c>
      <c r="N103" s="339" t="e">
        <f t="shared" si="40"/>
        <v>#N/A</v>
      </c>
      <c r="O103" s="351">
        <f>SUMIFS('Quote Log'!$AB:$AB,'Quote Log'!$C:$C,"&gt;="&amp;DATE(2022,11,27),'Quote Log'!$C:$C,"&lt;="&amp;DATE(2022,12,3),'Quote Log'!$B:$B,"=Purchased",'Quote Log'!$AB:$AB,"&lt;&gt;#VALUE!")</f>
        <v>0</v>
      </c>
      <c r="P103" s="351" t="e">
        <f t="shared" si="41"/>
        <v>#N/A</v>
      </c>
      <c r="Q103" s="349" t="e">
        <f t="shared" si="42"/>
        <v>#DIV/0!</v>
      </c>
      <c r="R103" s="349" t="e">
        <f t="shared" si="43"/>
        <v>#N/A</v>
      </c>
      <c r="S103" s="351">
        <f t="shared" si="47"/>
        <v>0</v>
      </c>
      <c r="T103" s="351" t="e">
        <f t="shared" si="44"/>
        <v>#N/A</v>
      </c>
      <c r="U103" s="349" t="e">
        <f t="shared" si="45"/>
        <v>#DIV/0!</v>
      </c>
      <c r="V103" s="349" t="e">
        <f t="shared" si="46"/>
        <v>#N/A</v>
      </c>
    </row>
    <row r="104" spans="1:22" x14ac:dyDescent="0.25">
      <c r="A104">
        <v>2022</v>
      </c>
      <c r="B104" s="350">
        <v>50</v>
      </c>
      <c r="C104">
        <f>COUNTIFS('Quote Log'!$B:$B,"&lt;&gt;VOID",'Quote Log'!$B:$B,"&lt;&gt;Requoted",'Quote Log'!$C:$C,"&gt;="&amp;DATE(2022,12,4),'Quote Log'!$C:$C,"&lt;="&amp;DATE(2022,12,10))</f>
        <v>0</v>
      </c>
      <c r="D104" t="e">
        <f t="shared" si="36"/>
        <v>#N/A</v>
      </c>
      <c r="E104">
        <f>COUNTIFS('Quote Log'!$B:$B,"&lt;&gt;VOID",'Quote Log'!$B:$B,"&lt;&gt;Requoted",'Quote Log'!$H:$H,"&gt;="&amp;DATE(2022,12,4),'Quote Log'!$H:$H,"&lt;="&amp;DATE(2022,12,10))</f>
        <v>0</v>
      </c>
      <c r="F104" t="e">
        <f t="shared" si="37"/>
        <v>#N/A</v>
      </c>
      <c r="G104">
        <f>COUNTIFS('Quote Log'!$C:$C,"&gt;="&amp;DATE(2022,12,4),'Quote Log'!$C:$C,"&lt;="&amp;DATE(2022,12,10),'Quote Log'!$B:$B,"=Purchased")</f>
        <v>0</v>
      </c>
      <c r="H104" t="e">
        <f t="shared" si="38"/>
        <v>#N/A</v>
      </c>
      <c r="I104" s="339">
        <f t="shared" si="34"/>
        <v>0</v>
      </c>
      <c r="J104" s="339" t="e">
        <f t="shared" si="39"/>
        <v>#N/A</v>
      </c>
      <c r="K104">
        <f>COUNTIFS('Quote Log'!$C:$C,"&gt;="&amp;DATE(2022,12,4),'Quote Log'!$C:$C,"&lt;="&amp;DATE(2022,12,10),'Quote Log'!$B:$B,"=LOST")</f>
        <v>0</v>
      </c>
      <c r="L104">
        <f>COUNTIFS('Quote Log'!$B:$B,"&lt;&gt;VOID",'Quote Log'!$B:$B,"&lt;&gt;Requoted",'Quote Log'!$C:$C,"&gt;="&amp;DATE(2022,12,4),'Quote Log'!$C:$C,"&lt;="&amp;DATE(2022,12,10),'Quote Log'!$V:$V,"=new")</f>
        <v>0</v>
      </c>
      <c r="M104" s="349">
        <f t="shared" si="35"/>
        <v>0</v>
      </c>
      <c r="N104" s="339" t="e">
        <f t="shared" si="40"/>
        <v>#N/A</v>
      </c>
      <c r="O104" s="351">
        <f>SUMIFS('Quote Log'!$AB:$AB,'Quote Log'!$C:$C,"&gt;="&amp;DATE(2022,12,4),'Quote Log'!$C:$C,"&lt;="&amp;DATE(2022,12,10),'Quote Log'!$B:$B,"=Purchased",'Quote Log'!$AB:$AB,"&lt;&gt;#VALUE!")</f>
        <v>0</v>
      </c>
      <c r="P104" s="351" t="e">
        <f t="shared" si="41"/>
        <v>#N/A</v>
      </c>
      <c r="Q104" s="349" t="e">
        <f t="shared" si="42"/>
        <v>#DIV/0!</v>
      </c>
      <c r="R104" s="349" t="e">
        <f t="shared" si="43"/>
        <v>#N/A</v>
      </c>
      <c r="S104" s="351">
        <f t="shared" si="47"/>
        <v>0</v>
      </c>
      <c r="T104" s="351" t="e">
        <f t="shared" si="44"/>
        <v>#N/A</v>
      </c>
      <c r="U104" s="349" t="e">
        <f t="shared" si="45"/>
        <v>#DIV/0!</v>
      </c>
      <c r="V104" s="349" t="e">
        <f t="shared" si="46"/>
        <v>#N/A</v>
      </c>
    </row>
    <row r="105" spans="1:22" x14ac:dyDescent="0.25">
      <c r="A105">
        <v>2022</v>
      </c>
      <c r="B105" s="350">
        <v>51</v>
      </c>
      <c r="C105">
        <f>COUNTIFS('Quote Log'!$B:$B,"&lt;&gt;VOID",'Quote Log'!$B:$B,"&lt;&gt;Requoted",'Quote Log'!$C:$C,"&gt;="&amp;DATE(2022,12,11),'Quote Log'!$C:$C,"&lt;="&amp;DATE(2022,12,17))</f>
        <v>0</v>
      </c>
      <c r="D105" t="e">
        <f t="shared" si="36"/>
        <v>#N/A</v>
      </c>
      <c r="E105">
        <f>COUNTIFS('Quote Log'!$B:$B,"&lt;&gt;VOID",'Quote Log'!$B:$B,"&lt;&gt;Requoted",'Quote Log'!$H:$H,"&gt;="&amp;DATE(2022,12,11),'Quote Log'!$H:$H,"&lt;="&amp;DATE(2022,12,17))</f>
        <v>0</v>
      </c>
      <c r="F105" t="e">
        <f t="shared" si="37"/>
        <v>#N/A</v>
      </c>
      <c r="G105">
        <f>COUNTIFS('Quote Log'!$C:$C,"&gt;="&amp;DATE(2022,12,11),'Quote Log'!$C:$C,"&lt;="&amp;DATE(2022,12,17),'Quote Log'!$B:$B,"=Purchased")</f>
        <v>0</v>
      </c>
      <c r="H105" t="e">
        <f t="shared" si="38"/>
        <v>#N/A</v>
      </c>
      <c r="I105" s="339">
        <f t="shared" si="34"/>
        <v>0</v>
      </c>
      <c r="J105" s="339" t="e">
        <f t="shared" si="39"/>
        <v>#N/A</v>
      </c>
      <c r="K105">
        <f>COUNTIFS('Quote Log'!$C:$C,"&gt;="&amp;DATE(2022,12,11),'Quote Log'!$C:$C,"&lt;="&amp;DATE(2022,12,17),'Quote Log'!$B:$B,"=LOST")</f>
        <v>0</v>
      </c>
      <c r="L105">
        <f>COUNTIFS('Quote Log'!$B:$B,"&lt;&gt;VOID",'Quote Log'!$B:$B,"&lt;&gt;Requoted",'Quote Log'!$C:$C,"&gt;="&amp;DATE(2022,12,11),'Quote Log'!$C:$C,"&lt;="&amp;DATE(2022,12,17),'Quote Log'!$V:$V,"=new")</f>
        <v>0</v>
      </c>
      <c r="M105" s="349">
        <f t="shared" si="35"/>
        <v>0</v>
      </c>
      <c r="N105" s="339" t="e">
        <f t="shared" si="40"/>
        <v>#N/A</v>
      </c>
      <c r="O105" s="351">
        <f>SUMIFS('Quote Log'!$AB:$AB,'Quote Log'!$C:$C,"&gt;="&amp;DATE(2022,12,11),'Quote Log'!$C:$C,"&lt;="&amp;DATE(2022,12,17),'Quote Log'!$B:$B,"=Purchased",'Quote Log'!$AB:$AB,"&lt;&gt;#VALUE!")</f>
        <v>0</v>
      </c>
      <c r="P105" s="351" t="e">
        <f t="shared" si="41"/>
        <v>#N/A</v>
      </c>
      <c r="Q105" s="349" t="e">
        <f t="shared" si="42"/>
        <v>#DIV/0!</v>
      </c>
      <c r="R105" s="349" t="e">
        <f t="shared" si="43"/>
        <v>#N/A</v>
      </c>
      <c r="S105" s="351">
        <f t="shared" si="47"/>
        <v>0</v>
      </c>
      <c r="T105" s="351" t="e">
        <f t="shared" si="44"/>
        <v>#N/A</v>
      </c>
      <c r="U105" s="349" t="e">
        <f t="shared" si="45"/>
        <v>#DIV/0!</v>
      </c>
      <c r="V105" s="349" t="e">
        <f t="shared" si="46"/>
        <v>#N/A</v>
      </c>
    </row>
    <row r="106" spans="1:22" x14ac:dyDescent="0.25">
      <c r="A106">
        <v>2022</v>
      </c>
      <c r="B106" s="350">
        <v>52</v>
      </c>
      <c r="C106">
        <f>COUNTIFS('Quote Log'!$B:$B,"&lt;&gt;VOID",'Quote Log'!$B:$B,"&lt;&gt;Requoted",'Quote Log'!$C:$C,"&gt;="&amp;DATE(2022,12,18),'Quote Log'!$C:$C,"&lt;="&amp;DATE(2022,12,24))</f>
        <v>0</v>
      </c>
      <c r="D106" t="e">
        <f t="shared" si="36"/>
        <v>#N/A</v>
      </c>
      <c r="E106">
        <f>COUNTIFS('Quote Log'!$B:$B,"&lt;&gt;VOID",'Quote Log'!$B:$B,"&lt;&gt;Requoted",'Quote Log'!$H:$H,"&gt;="&amp;DATE(2022,12,18),'Quote Log'!$H:$H,"&lt;="&amp;DATE(2022,12,24))</f>
        <v>0</v>
      </c>
      <c r="F106" t="e">
        <f t="shared" si="37"/>
        <v>#N/A</v>
      </c>
      <c r="G106">
        <f>COUNTIFS('Quote Log'!$C:$C,"&gt;="&amp;DATE(2022,12,18),'Quote Log'!$C:$C,"&lt;="&amp;DATE(2022,12,24),'Quote Log'!$B:$B,"=Purchased")</f>
        <v>0</v>
      </c>
      <c r="H106" t="e">
        <f t="shared" si="38"/>
        <v>#N/A</v>
      </c>
      <c r="I106" s="339">
        <f t="shared" si="34"/>
        <v>0</v>
      </c>
      <c r="J106" s="339" t="e">
        <f t="shared" si="39"/>
        <v>#N/A</v>
      </c>
      <c r="K106">
        <f>COUNTIFS('Quote Log'!$C:$C,"&gt;="&amp;DATE(2022,12,18),'Quote Log'!$C:$C,"&lt;="&amp;DATE(2022,12,24),'Quote Log'!$B:$B,"=LOST")</f>
        <v>0</v>
      </c>
      <c r="L106">
        <f>COUNTIFS('Quote Log'!$B:$B,"&lt;&gt;VOID",'Quote Log'!$B:$B,"&lt;&gt;Requoted",'Quote Log'!$C:$C,"&gt;="&amp;DATE(2022,12,18),'Quote Log'!$C:$C,"&lt;="&amp;DATE(2022,12,24),'Quote Log'!$V:$V,"=new")</f>
        <v>0</v>
      </c>
      <c r="M106" s="349">
        <f t="shared" si="35"/>
        <v>0</v>
      </c>
      <c r="N106" s="339" t="e">
        <f t="shared" si="40"/>
        <v>#N/A</v>
      </c>
      <c r="O106" s="351">
        <f>SUMIFS('Quote Log'!$AB:$AB,'Quote Log'!$C:$C,"&gt;="&amp;DATE(2022,12,18),'Quote Log'!$C:$C,"&lt;="&amp;DATE(2022,12,24),'Quote Log'!$B:$B,"=Purchased",'Quote Log'!$AB:$AB,"&lt;&gt;#VALUE!")</f>
        <v>0</v>
      </c>
      <c r="P106" s="351" t="e">
        <f t="shared" si="41"/>
        <v>#N/A</v>
      </c>
      <c r="Q106" s="349" t="e">
        <f t="shared" si="42"/>
        <v>#DIV/0!</v>
      </c>
      <c r="R106" s="349" t="e">
        <f t="shared" si="43"/>
        <v>#N/A</v>
      </c>
      <c r="S106" s="351">
        <f t="shared" si="47"/>
        <v>0</v>
      </c>
      <c r="T106" s="351" t="e">
        <f t="shared" si="44"/>
        <v>#N/A</v>
      </c>
      <c r="U106" s="349" t="e">
        <f t="shared" si="45"/>
        <v>#DIV/0!</v>
      </c>
      <c r="V106" s="349" t="e">
        <f t="shared" si="46"/>
        <v>#N/A</v>
      </c>
    </row>
    <row r="107" spans="1:22" x14ac:dyDescent="0.25">
      <c r="A107">
        <v>2022</v>
      </c>
      <c r="B107" s="350">
        <v>53</v>
      </c>
      <c r="C107">
        <f>COUNTIFS('Quote Log'!$B:$B,"&lt;&gt;VOID",'Quote Log'!$B:$B,"&lt;&gt;Requoted",'Quote Log'!$C:$C,"&gt;="&amp;DATE(2022,12,25),'Quote Log'!$C:$C,"&lt;="&amp;DATE(2022,12,31))</f>
        <v>0</v>
      </c>
      <c r="D107" t="e">
        <f t="shared" si="36"/>
        <v>#N/A</v>
      </c>
      <c r="E107">
        <f>COUNTIFS('Quote Log'!$B:$B,"&lt;&gt;VOID",'Quote Log'!$B:$B,"&lt;&gt;Requoted",'Quote Log'!$H:$H,"&gt;="&amp;DATE(2022,12,25),'Quote Log'!$H:$H,"&lt;="&amp;DATE(2022,12,31))</f>
        <v>0</v>
      </c>
      <c r="F107" t="e">
        <f t="shared" si="37"/>
        <v>#N/A</v>
      </c>
      <c r="G107">
        <f>COUNTIFS('Quote Log'!$C:$C,"&gt;="&amp;DATE(2022,12,25),'Quote Log'!$C:$C,"&lt;="&amp;DATE(2022,12,31),'Quote Log'!$B:$B,"=Purchased")</f>
        <v>0</v>
      </c>
      <c r="H107" t="e">
        <f t="shared" si="38"/>
        <v>#N/A</v>
      </c>
      <c r="I107" s="339">
        <f t="shared" si="34"/>
        <v>0</v>
      </c>
      <c r="J107" s="339" t="e">
        <f t="shared" si="39"/>
        <v>#N/A</v>
      </c>
      <c r="K107">
        <f>COUNTIFS('Quote Log'!$C:$C,"&gt;="&amp;DATE(2022,12,25),'Quote Log'!$C:$C,"&lt;="&amp;DATE(2022,12,31),'Quote Log'!$B:$B,"=LOST")</f>
        <v>0</v>
      </c>
      <c r="L107">
        <f>COUNTIFS('Quote Log'!$B:$B,"&lt;&gt;VOID",'Quote Log'!$B:$B,"&lt;&gt;Requoted",'Quote Log'!$C:$C,"&gt;="&amp;DATE(2022,12,25),'Quote Log'!$C:$C,"&lt;="&amp;DATE(2022,12,31),'Quote Log'!$V:$V,"=new")</f>
        <v>0</v>
      </c>
      <c r="M107" s="349">
        <f t="shared" si="35"/>
        <v>0</v>
      </c>
      <c r="N107" s="339" t="e">
        <f t="shared" si="40"/>
        <v>#N/A</v>
      </c>
      <c r="O107" s="351">
        <f>SUMIFS('Quote Log'!$AB:$AB,'Quote Log'!$C:$C,"&gt;="&amp;DATE(2022,12,25),'Quote Log'!$C:$C,"&lt;="&amp;DATE(2022,12,31),'Quote Log'!$B:$B,"=Purchased",'Quote Log'!$AB:$AB,"&lt;&gt;#VALUE!")</f>
        <v>0</v>
      </c>
      <c r="P107" s="351" t="e">
        <f t="shared" si="41"/>
        <v>#N/A</v>
      </c>
      <c r="Q107" s="349" t="e">
        <f t="shared" si="42"/>
        <v>#DIV/0!</v>
      </c>
      <c r="R107" s="349" t="e">
        <f t="shared" si="43"/>
        <v>#N/A</v>
      </c>
      <c r="S107" s="351">
        <f t="shared" si="47"/>
        <v>0</v>
      </c>
      <c r="T107" s="351" t="e">
        <f t="shared" si="44"/>
        <v>#N/A</v>
      </c>
      <c r="U107" s="349" t="e">
        <f t="shared" si="45"/>
        <v>#DIV/0!</v>
      </c>
      <c r="V107" s="349" t="e">
        <f t="shared" si="46"/>
        <v>#N/A</v>
      </c>
    </row>
    <row r="108" spans="1:22" x14ac:dyDescent="0.25">
      <c r="A108">
        <v>2023</v>
      </c>
      <c r="B108" s="350">
        <v>1</v>
      </c>
      <c r="C108">
        <f>COUNTIFS('Quote Log'!$B:$B,"&lt;&gt;VOID",'Quote Log'!$B:$B,"&lt;&gt;Requoted",'Quote Log'!$C:$C,"&gt;="&amp;DATE(2023,1,1),'Quote Log'!$C:$C,"&lt;="&amp;DATE(2023,1,7))</f>
        <v>0</v>
      </c>
      <c r="D108" t="e">
        <f t="shared" ref="D108:D139" si="48">IF($Z$4,C108,NA())</f>
        <v>#N/A</v>
      </c>
      <c r="E108">
        <f>COUNTIFS('Quote Log'!$B:$B,"&lt;&gt;VOID",'Quote Log'!$B:$B,"&lt;&gt;Requoted",'Quote Log'!$H:$H,"&gt;="&amp;DATE(2023,1,1),'Quote Log'!$H:$H,"&lt;="&amp;DATE(2023,1,7))</f>
        <v>0</v>
      </c>
      <c r="F108" t="e">
        <f t="shared" ref="F108:F139" si="49">IF($Z$4,E108,NA())</f>
        <v>#N/A</v>
      </c>
      <c r="G108">
        <f>COUNTIFS('Quote Log'!$C:$C,"&gt;="&amp;DATE(2023,1,1),'Quote Log'!$C:$C,"&lt;="&amp;DATE(2023,1,7),'Quote Log'!$B:$B,"=Purchased")</f>
        <v>0</v>
      </c>
      <c r="H108" t="e">
        <f t="shared" ref="H108:H139" si="50">IF(Z$4,G108,NA())</f>
        <v>#N/A</v>
      </c>
      <c r="I108" s="339">
        <f t="shared" si="34"/>
        <v>0</v>
      </c>
      <c r="J108" s="339" t="e">
        <f t="shared" ref="J108:J139" si="51">IF($Z$4,I108,NA())</f>
        <v>#N/A</v>
      </c>
      <c r="K108">
        <f>COUNTIFS('Quote Log'!$C:$C,"&gt;="&amp;DATE(2023,1,1),'Quote Log'!$C:$C,"&lt;="&amp;DATE(2023,1,7),'Quote Log'!$B:$B,"=LOST")</f>
        <v>0</v>
      </c>
      <c r="L108">
        <f>COUNTIFS('Quote Log'!$B:$B,"&lt;&gt;VOID",'Quote Log'!$B:$B,"&lt;&gt;Requoted",'Quote Log'!$C:$C,"&gt;="&amp;DATE(2023,1,1),'Quote Log'!$C:$C,"&lt;="&amp;DATE(2023,1,7),'Quote Log'!$V:$V,"=new")</f>
        <v>0</v>
      </c>
      <c r="M108" s="349">
        <f t="shared" si="35"/>
        <v>0</v>
      </c>
      <c r="N108" s="339" t="e">
        <f t="shared" ref="N108:N139" si="52">IF($Z$4,M108,NA())</f>
        <v>#N/A</v>
      </c>
      <c r="O108" s="351">
        <f>SUMIFS('Quote Log'!$AB:$AB,'Quote Log'!$C:$C,"&gt;="&amp;DATE(2023,1,1),'Quote Log'!$C:$C,"&lt;="&amp;DATE(2023,1,7),'Quote Log'!$B:$B,"=Purchased",'Quote Log'!$AB:$AB,"&lt;&gt;#VALUE!")</f>
        <v>0</v>
      </c>
      <c r="P108" s="351" t="e">
        <f t="shared" ref="P108:P139" si="53">IF($Z$4,O108,NA())</f>
        <v>#N/A</v>
      </c>
      <c r="Q108" s="349" t="e">
        <f t="shared" si="42"/>
        <v>#DIV/0!</v>
      </c>
      <c r="R108" s="349" t="e">
        <f t="shared" ref="R108:R139" si="54">IF($Z$4,Q108,NA())</f>
        <v>#N/A</v>
      </c>
      <c r="S108" s="351">
        <f>O108</f>
        <v>0</v>
      </c>
      <c r="T108" s="351" t="e">
        <f t="shared" ref="T108:T139" si="55">IF($Z$4,S108,NA())</f>
        <v>#N/A</v>
      </c>
      <c r="U108" s="349" t="e">
        <f t="shared" si="45"/>
        <v>#DIV/0!</v>
      </c>
      <c r="V108" s="349" t="e">
        <f t="shared" ref="V108:V139" si="56">IF($Z$4,U108,NA())</f>
        <v>#N/A</v>
      </c>
    </row>
    <row r="109" spans="1:22" x14ac:dyDescent="0.25">
      <c r="A109">
        <v>2023</v>
      </c>
      <c r="B109" s="350">
        <v>2</v>
      </c>
      <c r="C109">
        <f>COUNTIFS('Quote Log'!$B:$B,"&lt;&gt;VOID",'Quote Log'!$B:$B,"&lt;&gt;Requoted",'Quote Log'!$C:$C,"&gt;="&amp;DATE(2023,1,8),'Quote Log'!$C:$C,"&lt;="&amp;DATE(2023,1,14))</f>
        <v>0</v>
      </c>
      <c r="D109" t="e">
        <f t="shared" si="48"/>
        <v>#N/A</v>
      </c>
      <c r="E109">
        <f>COUNTIFS('Quote Log'!$B:$B,"&lt;&gt;VOID",'Quote Log'!$B:$B,"&lt;&gt;Requoted",'Quote Log'!$H:$H,"&gt;="&amp;DATE(2023,1,8),'Quote Log'!$H:$H,"&lt;="&amp;DATE(2023,1,14))</f>
        <v>0</v>
      </c>
      <c r="F109" t="e">
        <f t="shared" si="49"/>
        <v>#N/A</v>
      </c>
      <c r="G109">
        <f>COUNTIFS('Quote Log'!$C:$C,"&gt;="&amp;DATE(2023,1,8),'Quote Log'!$C:$C,"&lt;="&amp;DATE(2023,1,14),'Quote Log'!$B:$B,"=Purchased")</f>
        <v>0</v>
      </c>
      <c r="H109" t="e">
        <f t="shared" si="50"/>
        <v>#N/A</v>
      </c>
      <c r="I109" s="339">
        <f t="shared" si="34"/>
        <v>0</v>
      </c>
      <c r="J109" s="339" t="e">
        <f t="shared" si="51"/>
        <v>#N/A</v>
      </c>
      <c r="K109">
        <f>COUNTIFS('Quote Log'!$C:$C,"&gt;="&amp;DATE(2023,1,8),'Quote Log'!$C:$C,"&lt;="&amp;DATE(2023,1,14),'Quote Log'!$B:$B,"=LOST")</f>
        <v>0</v>
      </c>
      <c r="L109">
        <f>COUNTIFS('Quote Log'!$B:$B,"&lt;&gt;VOID",'Quote Log'!$B:$B,"&lt;&gt;Requoted",'Quote Log'!$C:$C,"&gt;="&amp;DATE(2023,1,8),'Quote Log'!$C:$C,"&lt;="&amp;DATE(2023,1,14),'Quote Log'!$V:$V,"=new")</f>
        <v>0</v>
      </c>
      <c r="M109" s="349">
        <f t="shared" si="35"/>
        <v>0</v>
      </c>
      <c r="N109" s="339" t="e">
        <f t="shared" si="52"/>
        <v>#N/A</v>
      </c>
      <c r="O109" s="351">
        <f>SUMIFS('Quote Log'!$AB:$AB,'Quote Log'!$C:$C,"&gt;="&amp;DATE(2023,1,8),'Quote Log'!$C:$C,"&lt;="&amp;DATE(2023,1,14),'Quote Log'!$B:$B,"=Purchased",'Quote Log'!$AB:$AB,"&lt;&gt;#VALUE!")</f>
        <v>0</v>
      </c>
      <c r="P109" s="351" t="e">
        <f t="shared" si="53"/>
        <v>#N/A</v>
      </c>
      <c r="Q109" s="349" t="e">
        <f t="shared" si="42"/>
        <v>#DIV/0!</v>
      </c>
      <c r="R109" s="349" t="e">
        <f t="shared" si="54"/>
        <v>#N/A</v>
      </c>
      <c r="S109" s="351">
        <f t="shared" ref="S109:S140" si="57">O109+S108</f>
        <v>0</v>
      </c>
      <c r="T109" s="351" t="e">
        <f t="shared" si="55"/>
        <v>#N/A</v>
      </c>
      <c r="U109" s="349" t="e">
        <f t="shared" si="45"/>
        <v>#DIV/0!</v>
      </c>
      <c r="V109" s="349" t="e">
        <f t="shared" si="56"/>
        <v>#N/A</v>
      </c>
    </row>
    <row r="110" spans="1:22" x14ac:dyDescent="0.25">
      <c r="A110">
        <v>2023</v>
      </c>
      <c r="B110" s="350">
        <v>3</v>
      </c>
      <c r="C110">
        <f>COUNTIFS('Quote Log'!$B:$B,"&lt;&gt;VOID",'Quote Log'!$B:$B,"&lt;&gt;Requoted",'Quote Log'!$C:$C,"&gt;="&amp;DATE(2023,1,15),'Quote Log'!$C:$C,"&lt;="&amp;DATE(2023,1,21))</f>
        <v>0</v>
      </c>
      <c r="D110" t="e">
        <f t="shared" si="48"/>
        <v>#N/A</v>
      </c>
      <c r="E110">
        <f>COUNTIFS('Quote Log'!$B:$B,"&lt;&gt;VOID",'Quote Log'!$B:$B,"&lt;&gt;Requoted",'Quote Log'!$H:$H,"&gt;="&amp;DATE(2023,1,15),'Quote Log'!$H:$H,"&lt;="&amp;DATE(2023,1,21))</f>
        <v>0</v>
      </c>
      <c r="F110" t="e">
        <f t="shared" si="49"/>
        <v>#N/A</v>
      </c>
      <c r="G110">
        <f>COUNTIFS('Quote Log'!$C:$C,"&gt;="&amp;DATE(2023,1,15),'Quote Log'!$C:$C,"&lt;="&amp;DATE(2023,1,21),'Quote Log'!$B:$B,"=Purchased")</f>
        <v>0</v>
      </c>
      <c r="H110" t="e">
        <f t="shared" si="50"/>
        <v>#N/A</v>
      </c>
      <c r="I110" s="339">
        <f t="shared" si="34"/>
        <v>0</v>
      </c>
      <c r="J110" s="339" t="e">
        <f t="shared" si="51"/>
        <v>#N/A</v>
      </c>
      <c r="K110">
        <f>COUNTIFS('Quote Log'!$C:$C,"&gt;="&amp;DATE(2023,1,15),'Quote Log'!$C:$C,"&lt;="&amp;DATE(2023,1,21),'Quote Log'!$B:$B,"=LOST")</f>
        <v>0</v>
      </c>
      <c r="L110">
        <f>COUNTIFS('Quote Log'!$B:$B,"&lt;&gt;VOID",'Quote Log'!$B:$B,"&lt;&gt;Requoted",'Quote Log'!$C:$C,"&gt;="&amp;DATE(2023,1,15),'Quote Log'!$C:$C,"&lt;="&amp;DATE(2023,1,21),'Quote Log'!$V:$V,"=new")</f>
        <v>0</v>
      </c>
      <c r="M110" s="349">
        <f t="shared" si="35"/>
        <v>0</v>
      </c>
      <c r="N110" s="339" t="e">
        <f t="shared" si="52"/>
        <v>#N/A</v>
      </c>
      <c r="O110" s="351">
        <f>SUMIFS('Quote Log'!$AB:$AB,'Quote Log'!$C:$C,"&gt;="&amp;DATE(2023,1,15),'Quote Log'!$C:$C,"&lt;="&amp;DATE(2023,1,21),'Quote Log'!$B:$B,"=Purchased",'Quote Log'!$AB:$AB,"&lt;&gt;#VALUE!")</f>
        <v>0</v>
      </c>
      <c r="P110" s="351" t="e">
        <f t="shared" si="53"/>
        <v>#N/A</v>
      </c>
      <c r="Q110" s="349" t="e">
        <f t="shared" si="42"/>
        <v>#DIV/0!</v>
      </c>
      <c r="R110" s="349" t="e">
        <f t="shared" si="54"/>
        <v>#N/A</v>
      </c>
      <c r="S110" s="351">
        <f t="shared" si="57"/>
        <v>0</v>
      </c>
      <c r="T110" s="351" t="e">
        <f t="shared" si="55"/>
        <v>#N/A</v>
      </c>
      <c r="U110" s="349" t="e">
        <f t="shared" si="45"/>
        <v>#DIV/0!</v>
      </c>
      <c r="V110" s="349" t="e">
        <f t="shared" si="56"/>
        <v>#N/A</v>
      </c>
    </row>
    <row r="111" spans="1:22" x14ac:dyDescent="0.25">
      <c r="A111">
        <v>2023</v>
      </c>
      <c r="B111" s="350">
        <v>4</v>
      </c>
      <c r="C111">
        <f>COUNTIFS('Quote Log'!$B:$B,"&lt;&gt;VOID",'Quote Log'!$B:$B,"&lt;&gt;Requoted",'Quote Log'!$C:$C,"&gt;="&amp;DATE(2023,1,22),'Quote Log'!$C:$C,"&lt;="&amp;DATE(2023,1,28))</f>
        <v>0</v>
      </c>
      <c r="D111" t="e">
        <f t="shared" si="48"/>
        <v>#N/A</v>
      </c>
      <c r="E111">
        <f>COUNTIFS('Quote Log'!$B:$B,"&lt;&gt;VOID",'Quote Log'!$B:$B,"&lt;&gt;Requoted",'Quote Log'!$H:$H,"&gt;="&amp;DATE(2023,1,22),'Quote Log'!$H:$H,"&lt;="&amp;DATE(2023,1,28))</f>
        <v>0</v>
      </c>
      <c r="F111" t="e">
        <f t="shared" si="49"/>
        <v>#N/A</v>
      </c>
      <c r="G111">
        <f>COUNTIFS('Quote Log'!$C:$C,"&gt;="&amp;DATE(2023,1,22),'Quote Log'!$C:$C,"&lt;="&amp;DATE(2023,1,28),'Quote Log'!$B:$B,"=Purchased")</f>
        <v>0</v>
      </c>
      <c r="H111" t="e">
        <f t="shared" si="50"/>
        <v>#N/A</v>
      </c>
      <c r="I111" s="339">
        <f t="shared" si="34"/>
        <v>0</v>
      </c>
      <c r="J111" s="339" t="e">
        <f t="shared" si="51"/>
        <v>#N/A</v>
      </c>
      <c r="K111">
        <f>COUNTIFS('Quote Log'!$C:$C,"&gt;="&amp;DATE(2023,1,22),'Quote Log'!$C:$C,"&lt;="&amp;DATE(2023,1,28),'Quote Log'!$B:$B,"=LOST")</f>
        <v>0</v>
      </c>
      <c r="L111">
        <f>COUNTIFS('Quote Log'!$B:$B,"&lt;&gt;VOID",'Quote Log'!$B:$B,"&lt;&gt;Requoted",'Quote Log'!$C:$C,"&gt;="&amp;DATE(2023,1,22),'Quote Log'!$C:$C,"&lt;="&amp;DATE(2023,1,28),'Quote Log'!$V:$V,"=new")</f>
        <v>0</v>
      </c>
      <c r="M111" s="349">
        <f t="shared" si="35"/>
        <v>0</v>
      </c>
      <c r="N111" s="339" t="e">
        <f t="shared" si="52"/>
        <v>#N/A</v>
      </c>
      <c r="O111" s="351">
        <f>SUMIFS('Quote Log'!$AB:$AB,'Quote Log'!$C:$C,"&gt;="&amp;DATE(2023,1,22),'Quote Log'!$C:$C,"&lt;="&amp;DATE(2023,1,28),'Quote Log'!$B:$B,"=Purchased",'Quote Log'!$AB:$AB,"&lt;&gt;#VALUE!")</f>
        <v>0</v>
      </c>
      <c r="P111" s="351" t="e">
        <f t="shared" si="53"/>
        <v>#N/A</v>
      </c>
      <c r="Q111" s="349" t="e">
        <f t="shared" si="42"/>
        <v>#DIV/0!</v>
      </c>
      <c r="R111" s="349" t="e">
        <f t="shared" si="54"/>
        <v>#N/A</v>
      </c>
      <c r="S111" s="351">
        <f t="shared" si="57"/>
        <v>0</v>
      </c>
      <c r="T111" s="351" t="e">
        <f t="shared" si="55"/>
        <v>#N/A</v>
      </c>
      <c r="U111" s="349" t="e">
        <f t="shared" si="45"/>
        <v>#DIV/0!</v>
      </c>
      <c r="V111" s="349" t="e">
        <f t="shared" si="56"/>
        <v>#N/A</v>
      </c>
    </row>
    <row r="112" spans="1:22" x14ac:dyDescent="0.25">
      <c r="A112">
        <v>2023</v>
      </c>
      <c r="B112" s="350">
        <v>5</v>
      </c>
      <c r="C112">
        <f>COUNTIFS('Quote Log'!$B:$B,"&lt;&gt;VOID",'Quote Log'!$B:$B,"&lt;&gt;Requoted",'Quote Log'!$C:$C,"&gt;="&amp;DATE(2023,1,29),'Quote Log'!$C:$C,"&lt;="&amp;DATE(2023,2,4))</f>
        <v>0</v>
      </c>
      <c r="D112" t="e">
        <f t="shared" si="48"/>
        <v>#N/A</v>
      </c>
      <c r="E112">
        <f>COUNTIFS('Quote Log'!$B:$B,"&lt;&gt;VOID",'Quote Log'!$B:$B,"&lt;&gt;Requoted",'Quote Log'!$H:$H,"&gt;="&amp;DATE(2023,1,29),'Quote Log'!$H:$H,"&lt;="&amp;DATE(2023,2,4))</f>
        <v>0</v>
      </c>
      <c r="F112" t="e">
        <f t="shared" si="49"/>
        <v>#N/A</v>
      </c>
      <c r="G112">
        <f>COUNTIFS('Quote Log'!$C:$C,"&gt;="&amp;DATE(2023,1,29),'Quote Log'!$C:$C,"&lt;="&amp;DATE(2023,2,4),'Quote Log'!$B:$B,"=Purchased")</f>
        <v>0</v>
      </c>
      <c r="H112" t="e">
        <f t="shared" si="50"/>
        <v>#N/A</v>
      </c>
      <c r="I112" s="339">
        <f t="shared" si="34"/>
        <v>0</v>
      </c>
      <c r="J112" s="339" t="e">
        <f t="shared" si="51"/>
        <v>#N/A</v>
      </c>
      <c r="K112">
        <f>COUNTIFS('Quote Log'!$C:$C,"&gt;="&amp;DATE(2023,1,29),'Quote Log'!$C:$C,"&lt;="&amp;DATE(2023,2,4),'Quote Log'!$B:$B,"=LOST")</f>
        <v>0</v>
      </c>
      <c r="L112">
        <f>COUNTIFS('Quote Log'!$B:$B,"&lt;&gt;VOID",'Quote Log'!$B:$B,"&lt;&gt;Requoted",'Quote Log'!$C:$C,"&gt;="&amp;DATE(2023,1,29),'Quote Log'!$C:$C,"&lt;="&amp;DATE(2023,2,4),'Quote Log'!$V:$V,"=new")</f>
        <v>0</v>
      </c>
      <c r="M112" s="349">
        <f t="shared" si="35"/>
        <v>0</v>
      </c>
      <c r="N112" s="339" t="e">
        <f t="shared" si="52"/>
        <v>#N/A</v>
      </c>
      <c r="O112" s="351">
        <f>SUMIFS('Quote Log'!$AB:$AB,'Quote Log'!$C:$C,"&gt;="&amp;DATE(2023,1,29),'Quote Log'!$C:$C,"&lt;="&amp;DATE(2023,2,4),'Quote Log'!$B:$B,"=Purchased",'Quote Log'!$AB:$AB,"&lt;&gt;#VALUE!")</f>
        <v>0</v>
      </c>
      <c r="P112" s="351" t="e">
        <f t="shared" si="53"/>
        <v>#N/A</v>
      </c>
      <c r="Q112" s="349" t="e">
        <f t="shared" si="42"/>
        <v>#DIV/0!</v>
      </c>
      <c r="R112" s="349" t="e">
        <f t="shared" si="54"/>
        <v>#N/A</v>
      </c>
      <c r="S112" s="351">
        <f t="shared" si="57"/>
        <v>0</v>
      </c>
      <c r="T112" s="351" t="e">
        <f t="shared" si="55"/>
        <v>#N/A</v>
      </c>
      <c r="U112" s="349" t="e">
        <f t="shared" si="45"/>
        <v>#DIV/0!</v>
      </c>
      <c r="V112" s="349" t="e">
        <f t="shared" si="56"/>
        <v>#N/A</v>
      </c>
    </row>
    <row r="113" spans="1:22" x14ac:dyDescent="0.25">
      <c r="A113">
        <v>2023</v>
      </c>
      <c r="B113" s="350">
        <v>6</v>
      </c>
      <c r="C113">
        <f>COUNTIFS('Quote Log'!$B:$B,"&lt;&gt;VOID",'Quote Log'!$B:$B,"&lt;&gt;Requoted",'Quote Log'!$C:$C,"&gt;="&amp;DATE(2023,2,5),'Quote Log'!$C:$C,"&lt;="&amp;DATE(2023,2,11))</f>
        <v>0</v>
      </c>
      <c r="D113" t="e">
        <f t="shared" si="48"/>
        <v>#N/A</v>
      </c>
      <c r="E113">
        <f>COUNTIFS('Quote Log'!$B:$B,"&lt;&gt;VOID",'Quote Log'!$B:$B,"&lt;&gt;Requoted",'Quote Log'!$H:$H,"&gt;="&amp;DATE(2023,2,5),'Quote Log'!$H:$H,"&lt;="&amp;DATE(2023,2,11))</f>
        <v>0</v>
      </c>
      <c r="F113" t="e">
        <f t="shared" si="49"/>
        <v>#N/A</v>
      </c>
      <c r="G113">
        <f>COUNTIFS('Quote Log'!$C:$C,"&gt;="&amp;DATE(2023,2,5),'Quote Log'!$C:$C,"&lt;="&amp;DATE(2023,2,11),'Quote Log'!$B:$B,"=Purchased")</f>
        <v>0</v>
      </c>
      <c r="H113" t="e">
        <f t="shared" si="50"/>
        <v>#N/A</v>
      </c>
      <c r="I113" s="339">
        <f t="shared" si="34"/>
        <v>0</v>
      </c>
      <c r="J113" s="339" t="e">
        <f t="shared" si="51"/>
        <v>#N/A</v>
      </c>
      <c r="K113">
        <f>COUNTIFS('Quote Log'!$C:$C,"&gt;="&amp;DATE(2023,2,5),'Quote Log'!$C:$C,"&lt;="&amp;DATE(2023,2,11),'Quote Log'!$B:$B,"=LOST")</f>
        <v>0</v>
      </c>
      <c r="L113">
        <f>COUNTIFS('Quote Log'!$B:$B,"&lt;&gt;VOID",'Quote Log'!$B:$B,"&lt;&gt;Requoted",'Quote Log'!$C:$C,"&gt;="&amp;DATE(2023,2,5),'Quote Log'!$C:$C,"&lt;="&amp;DATE(2023,2,11),'Quote Log'!$V:$V,"=new")</f>
        <v>0</v>
      </c>
      <c r="M113" s="349">
        <f t="shared" si="35"/>
        <v>0</v>
      </c>
      <c r="N113" s="339" t="e">
        <f t="shared" si="52"/>
        <v>#N/A</v>
      </c>
      <c r="O113" s="351">
        <f>SUMIFS('Quote Log'!$AB:$AB,'Quote Log'!$C:$C,"&gt;="&amp;DATE(2023,2,5),'Quote Log'!$C:$C,"&lt;="&amp;DATE(2023,2,11),'Quote Log'!$B:$B,"=Purchased",'Quote Log'!$AB:$AB,"&lt;&gt;#VALUE!")</f>
        <v>0</v>
      </c>
      <c r="P113" s="351" t="e">
        <f t="shared" si="53"/>
        <v>#N/A</v>
      </c>
      <c r="Q113" s="349" t="e">
        <f t="shared" si="42"/>
        <v>#DIV/0!</v>
      </c>
      <c r="R113" s="349" t="e">
        <f t="shared" si="54"/>
        <v>#N/A</v>
      </c>
      <c r="S113" s="351">
        <f t="shared" si="57"/>
        <v>0</v>
      </c>
      <c r="T113" s="351" t="e">
        <f t="shared" si="55"/>
        <v>#N/A</v>
      </c>
      <c r="U113" s="349" t="e">
        <f t="shared" si="45"/>
        <v>#DIV/0!</v>
      </c>
      <c r="V113" s="349" t="e">
        <f t="shared" si="56"/>
        <v>#N/A</v>
      </c>
    </row>
    <row r="114" spans="1:22" x14ac:dyDescent="0.25">
      <c r="A114">
        <v>2023</v>
      </c>
      <c r="B114" s="350">
        <v>7</v>
      </c>
      <c r="C114">
        <f>COUNTIFS('Quote Log'!$B:$B,"&lt;&gt;VOID",'Quote Log'!$B:$B,"&lt;&gt;Requoted",'Quote Log'!$C:$C,"&gt;="&amp;DATE(2023,2,12),'Quote Log'!$C:$C,"&lt;="&amp;DATE(2023,2,18))</f>
        <v>0</v>
      </c>
      <c r="D114" t="e">
        <f t="shared" si="48"/>
        <v>#N/A</v>
      </c>
      <c r="E114">
        <f>COUNTIFS('Quote Log'!$B:$B,"&lt;&gt;VOID",'Quote Log'!$B:$B,"&lt;&gt;Requoted",'Quote Log'!$H:$H,"&gt;="&amp;DATE(2023,2,12),'Quote Log'!$H:$H,"&lt;="&amp;DATE(2023,2,18))</f>
        <v>0</v>
      </c>
      <c r="F114" t="e">
        <f t="shared" si="49"/>
        <v>#N/A</v>
      </c>
      <c r="G114">
        <f>COUNTIFS('Quote Log'!$C:$C,"&gt;="&amp;DATE(2023,2,12),'Quote Log'!$C:$C,"&lt;="&amp;DATE(2023,2,18),'Quote Log'!$B:$B,"=Purchased")</f>
        <v>0</v>
      </c>
      <c r="H114" t="e">
        <f t="shared" si="50"/>
        <v>#N/A</v>
      </c>
      <c r="I114" s="339">
        <f t="shared" si="34"/>
        <v>0</v>
      </c>
      <c r="J114" s="339" t="e">
        <f t="shared" si="51"/>
        <v>#N/A</v>
      </c>
      <c r="K114">
        <f>COUNTIFS('Quote Log'!$C:$C,"&gt;="&amp;DATE(2023,2,12),'Quote Log'!$C:$C,"&lt;="&amp;DATE(2023,2,18),'Quote Log'!$B:$B,"=LOST")</f>
        <v>0</v>
      </c>
      <c r="L114">
        <f>COUNTIFS('Quote Log'!$B:$B,"&lt;&gt;VOID",'Quote Log'!$B:$B,"&lt;&gt;Requoted",'Quote Log'!$C:$C,"&gt;="&amp;DATE(2023,2,12),'Quote Log'!$C:$C,"&lt;="&amp;DATE(2023,2,18),'Quote Log'!$V:$V,"=new")</f>
        <v>0</v>
      </c>
      <c r="M114" s="349">
        <f t="shared" si="35"/>
        <v>0</v>
      </c>
      <c r="N114" s="339" t="e">
        <f t="shared" si="52"/>
        <v>#N/A</v>
      </c>
      <c r="O114" s="351">
        <f>SUMIFS('Quote Log'!$AB:$AB,'Quote Log'!$C:$C,"&gt;="&amp;DATE(2023,2,12),'Quote Log'!$C:$C,"&lt;="&amp;DATE(2023,2,18),'Quote Log'!$B:$B,"=Purchased",'Quote Log'!$AB:$AB,"&lt;&gt;#VALUE!")</f>
        <v>0</v>
      </c>
      <c r="P114" s="351" t="e">
        <f t="shared" si="53"/>
        <v>#N/A</v>
      </c>
      <c r="Q114" s="349" t="e">
        <f t="shared" si="42"/>
        <v>#DIV/0!</v>
      </c>
      <c r="R114" s="349" t="e">
        <f t="shared" si="54"/>
        <v>#N/A</v>
      </c>
      <c r="S114" s="351">
        <f t="shared" si="57"/>
        <v>0</v>
      </c>
      <c r="T114" s="351" t="e">
        <f t="shared" si="55"/>
        <v>#N/A</v>
      </c>
      <c r="U114" s="349" t="e">
        <f t="shared" si="45"/>
        <v>#DIV/0!</v>
      </c>
      <c r="V114" s="349" t="e">
        <f t="shared" si="56"/>
        <v>#N/A</v>
      </c>
    </row>
    <row r="115" spans="1:22" x14ac:dyDescent="0.25">
      <c r="A115">
        <v>2023</v>
      </c>
      <c r="B115" s="350">
        <v>8</v>
      </c>
      <c r="C115">
        <f>COUNTIFS('Quote Log'!$B:$B,"&lt;&gt;VOID",'Quote Log'!$B:$B,"&lt;&gt;Requoted",'Quote Log'!$C:$C,"&gt;="&amp;DATE(2023,2,19),'Quote Log'!$C:$C,"&lt;="&amp;DATE(2023,2,25))</f>
        <v>0</v>
      </c>
      <c r="D115" t="e">
        <f t="shared" si="48"/>
        <v>#N/A</v>
      </c>
      <c r="E115">
        <f>COUNTIFS('Quote Log'!$B:$B,"&lt;&gt;VOID",'Quote Log'!$B:$B,"&lt;&gt;Requoted",'Quote Log'!$H:$H,"&gt;="&amp;DATE(2023,2,19),'Quote Log'!$H:$H,"&lt;="&amp;DATE(2023,2,25))</f>
        <v>0</v>
      </c>
      <c r="F115" t="e">
        <f t="shared" si="49"/>
        <v>#N/A</v>
      </c>
      <c r="G115">
        <f>COUNTIFS('Quote Log'!$C:$C,"&gt;="&amp;DATE(2023,2,19),'Quote Log'!$C:$C,"&lt;="&amp;DATE(2023,2,25),'Quote Log'!$B:$B,"=Purchased")</f>
        <v>0</v>
      </c>
      <c r="H115" t="e">
        <f t="shared" si="50"/>
        <v>#N/A</v>
      </c>
      <c r="I115" s="339">
        <f t="shared" si="34"/>
        <v>0</v>
      </c>
      <c r="J115" s="339" t="e">
        <f t="shared" si="51"/>
        <v>#N/A</v>
      </c>
      <c r="K115">
        <f>COUNTIFS('Quote Log'!$C:$C,"&gt;="&amp;DATE(2023,2,19),'Quote Log'!$C:$C,"&lt;="&amp;DATE(2023,2,25),'Quote Log'!$B:$B,"=LOST")</f>
        <v>0</v>
      </c>
      <c r="L115">
        <f>COUNTIFS('Quote Log'!$B:$B,"&lt;&gt;VOID",'Quote Log'!$B:$B,"&lt;&gt;Requoted",'Quote Log'!$C:$C,"&gt;="&amp;DATE(2023,2,19),'Quote Log'!$C:$C,"&lt;="&amp;DATE(2023,2,25),'Quote Log'!$V:$V,"=new")</f>
        <v>0</v>
      </c>
      <c r="M115" s="349">
        <f t="shared" si="35"/>
        <v>0</v>
      </c>
      <c r="N115" s="339" t="e">
        <f t="shared" si="52"/>
        <v>#N/A</v>
      </c>
      <c r="O115" s="351">
        <f>SUMIFS('Quote Log'!$AB:$AB,'Quote Log'!$C:$C,"&gt;="&amp;DATE(2023,2,19),'Quote Log'!$C:$C,"&lt;="&amp;DATE(2023,2,25),'Quote Log'!$B:$B,"=Purchased",'Quote Log'!$AB:$AB,"&lt;&gt;#VALUE!")</f>
        <v>0</v>
      </c>
      <c r="P115" s="351" t="e">
        <f t="shared" si="53"/>
        <v>#N/A</v>
      </c>
      <c r="Q115" s="349" t="e">
        <f t="shared" si="42"/>
        <v>#DIV/0!</v>
      </c>
      <c r="R115" s="349" t="e">
        <f t="shared" si="54"/>
        <v>#N/A</v>
      </c>
      <c r="S115" s="351">
        <f t="shared" si="57"/>
        <v>0</v>
      </c>
      <c r="T115" s="351" t="e">
        <f t="shared" si="55"/>
        <v>#N/A</v>
      </c>
      <c r="U115" s="349" t="e">
        <f t="shared" si="45"/>
        <v>#DIV/0!</v>
      </c>
      <c r="V115" s="349" t="e">
        <f t="shared" si="56"/>
        <v>#N/A</v>
      </c>
    </row>
    <row r="116" spans="1:22" x14ac:dyDescent="0.25">
      <c r="A116">
        <v>2023</v>
      </c>
      <c r="B116" s="350">
        <v>9</v>
      </c>
      <c r="C116">
        <f>COUNTIFS('Quote Log'!$B:$B,"&lt;&gt;VOID",'Quote Log'!$B:$B,"&lt;&gt;Requoted",'Quote Log'!$C:$C,"&gt;="&amp;DATE(2023,2,26),'Quote Log'!$C:$C,"&lt;="&amp;DATE(2023,3,4))</f>
        <v>0</v>
      </c>
      <c r="D116" t="e">
        <f t="shared" si="48"/>
        <v>#N/A</v>
      </c>
      <c r="E116">
        <f>COUNTIFS('Quote Log'!$B:$B,"&lt;&gt;VOID",'Quote Log'!$B:$B,"&lt;&gt;Requoted",'Quote Log'!$H:$H,"&gt;="&amp;DATE(2023,2,26),'Quote Log'!$H:$H,"&lt;="&amp;DATE(2023,3,4))</f>
        <v>0</v>
      </c>
      <c r="F116" t="e">
        <f t="shared" si="49"/>
        <v>#N/A</v>
      </c>
      <c r="G116">
        <f>COUNTIFS('Quote Log'!$C:$C,"&gt;="&amp;DATE(2023,2,26),'Quote Log'!$C:$C,"&lt;="&amp;DATE(2023,3,4),'Quote Log'!$B:$B,"=Purchased")</f>
        <v>0</v>
      </c>
      <c r="H116" t="e">
        <f t="shared" si="50"/>
        <v>#N/A</v>
      </c>
      <c r="I116" s="339">
        <f t="shared" si="34"/>
        <v>0</v>
      </c>
      <c r="J116" s="339" t="e">
        <f t="shared" si="51"/>
        <v>#N/A</v>
      </c>
      <c r="K116">
        <f>COUNTIFS('Quote Log'!$C:$C,"&gt;="&amp;DATE(2023,2,26),'Quote Log'!$C:$C,"&lt;="&amp;DATE(2023,3,4),'Quote Log'!$B:$B,"=LOST")</f>
        <v>0</v>
      </c>
      <c r="L116">
        <f>COUNTIFS('Quote Log'!$B:$B,"&lt;&gt;VOID",'Quote Log'!$B:$B,"&lt;&gt;Requoted",'Quote Log'!$C:$C,"&gt;="&amp;DATE(2023,2,26),'Quote Log'!$C:$C,"&lt;="&amp;DATE(2023,3,4),'Quote Log'!$V:$V,"=new")</f>
        <v>0</v>
      </c>
      <c r="M116" s="349">
        <f t="shared" si="35"/>
        <v>0</v>
      </c>
      <c r="N116" s="339" t="e">
        <f t="shared" si="52"/>
        <v>#N/A</v>
      </c>
      <c r="O116" s="351">
        <f>SUMIFS('Quote Log'!$AB:$AB,'Quote Log'!$C:$C,"&gt;="&amp;DATE(2023,2,26),'Quote Log'!$C:$C,"&lt;="&amp;DATE(2023,3,4),'Quote Log'!$B:$B,"=Purchased",'Quote Log'!$AB:$AB,"&lt;&gt;#VALUE!")</f>
        <v>0</v>
      </c>
      <c r="P116" s="351" t="e">
        <f t="shared" si="53"/>
        <v>#N/A</v>
      </c>
      <c r="Q116" s="349" t="e">
        <f t="shared" si="42"/>
        <v>#DIV/0!</v>
      </c>
      <c r="R116" s="349" t="e">
        <f t="shared" si="54"/>
        <v>#N/A</v>
      </c>
      <c r="S116" s="351">
        <f t="shared" si="57"/>
        <v>0</v>
      </c>
      <c r="T116" s="351" t="e">
        <f t="shared" si="55"/>
        <v>#N/A</v>
      </c>
      <c r="U116" s="349" t="e">
        <f t="shared" si="45"/>
        <v>#DIV/0!</v>
      </c>
      <c r="V116" s="349" t="e">
        <f t="shared" si="56"/>
        <v>#N/A</v>
      </c>
    </row>
    <row r="117" spans="1:22" x14ac:dyDescent="0.25">
      <c r="A117">
        <v>2023</v>
      </c>
      <c r="B117" s="350">
        <v>10</v>
      </c>
      <c r="C117">
        <f>COUNTIFS('Quote Log'!$B:$B,"&lt;&gt;VOID",'Quote Log'!$B:$B,"&lt;&gt;Requoted",'Quote Log'!$C:$C,"&gt;="&amp;DATE(2023,3,5),'Quote Log'!$C:$C,"&lt;="&amp;DATE(2023,3,11))</f>
        <v>0</v>
      </c>
      <c r="D117" t="e">
        <f t="shared" si="48"/>
        <v>#N/A</v>
      </c>
      <c r="E117">
        <f>COUNTIFS('Quote Log'!$B:$B,"&lt;&gt;VOID",'Quote Log'!$B:$B,"&lt;&gt;Requoted",'Quote Log'!$H:$H,"&gt;="&amp;DATE(2023,3,5),'Quote Log'!$H:$H,"&lt;="&amp;DATE(2023,3,11))</f>
        <v>0</v>
      </c>
      <c r="F117" t="e">
        <f t="shared" si="49"/>
        <v>#N/A</v>
      </c>
      <c r="G117">
        <f>COUNTIFS('Quote Log'!$C:$C,"&gt;="&amp;DATE(2023,3,5),'Quote Log'!$C:$C,"&lt;="&amp;DATE(2023,3,11),'Quote Log'!$B:$B,"=Purchased")</f>
        <v>0</v>
      </c>
      <c r="H117" t="e">
        <f t="shared" si="50"/>
        <v>#N/A</v>
      </c>
      <c r="I117" s="339">
        <f t="shared" si="34"/>
        <v>0</v>
      </c>
      <c r="J117" s="339" t="e">
        <f t="shared" si="51"/>
        <v>#N/A</v>
      </c>
      <c r="K117">
        <f>COUNTIFS('Quote Log'!$C:$C,"&gt;="&amp;DATE(2023,3,5),'Quote Log'!$C:$C,"&lt;="&amp;DATE(2023,3,11),'Quote Log'!$B:$B,"=LOST")</f>
        <v>0</v>
      </c>
      <c r="L117">
        <f>COUNTIFS('Quote Log'!$B:$B,"&lt;&gt;VOID",'Quote Log'!$B:$B,"&lt;&gt;Requoted",'Quote Log'!$C:$C,"&gt;="&amp;DATE(2023,3,5),'Quote Log'!$C:$C,"&lt;="&amp;DATE(2023,3,11),'Quote Log'!$V:$V,"=new")</f>
        <v>0</v>
      </c>
      <c r="M117" s="349">
        <f t="shared" si="35"/>
        <v>0</v>
      </c>
      <c r="N117" s="339" t="e">
        <f t="shared" si="52"/>
        <v>#N/A</v>
      </c>
      <c r="O117" s="351">
        <f>SUMIFS('Quote Log'!$AB:$AB,'Quote Log'!$C:$C,"&gt;="&amp;DATE(2023,3,5),'Quote Log'!$C:$C,"&lt;="&amp;DATE(2023,3,11),'Quote Log'!$B:$B,"=Purchased",'Quote Log'!$AB:$AB,"&lt;&gt;#VALUE!")</f>
        <v>0</v>
      </c>
      <c r="P117" s="351" t="e">
        <f t="shared" si="53"/>
        <v>#N/A</v>
      </c>
      <c r="Q117" s="349" t="e">
        <f t="shared" si="42"/>
        <v>#DIV/0!</v>
      </c>
      <c r="R117" s="349" t="e">
        <f t="shared" si="54"/>
        <v>#N/A</v>
      </c>
      <c r="S117" s="351">
        <f t="shared" si="57"/>
        <v>0</v>
      </c>
      <c r="T117" s="351" t="e">
        <f t="shared" si="55"/>
        <v>#N/A</v>
      </c>
      <c r="U117" s="349" t="e">
        <f t="shared" si="45"/>
        <v>#DIV/0!</v>
      </c>
      <c r="V117" s="349" t="e">
        <f t="shared" si="56"/>
        <v>#N/A</v>
      </c>
    </row>
    <row r="118" spans="1:22" x14ac:dyDescent="0.25">
      <c r="A118">
        <v>2023</v>
      </c>
      <c r="B118" s="350">
        <v>11</v>
      </c>
      <c r="C118">
        <f>COUNTIFS('Quote Log'!$B:$B,"&lt;&gt;VOID",'Quote Log'!$B:$B,"&lt;&gt;Requoted",'Quote Log'!$C:$C,"&gt;="&amp;DATE(2023,3,12),'Quote Log'!$C:$C,"&lt;="&amp;DATE(2023,3,18))</f>
        <v>0</v>
      </c>
      <c r="D118" t="e">
        <f t="shared" si="48"/>
        <v>#N/A</v>
      </c>
      <c r="E118">
        <f>COUNTIFS('Quote Log'!$B:$B,"&lt;&gt;VOID",'Quote Log'!$B:$B,"&lt;&gt;Requoted",'Quote Log'!$H:$H,"&gt;="&amp;DATE(2023,3,12),'Quote Log'!$H:$H,"&lt;="&amp;DATE(2023,3,18))</f>
        <v>0</v>
      </c>
      <c r="F118" t="e">
        <f t="shared" si="49"/>
        <v>#N/A</v>
      </c>
      <c r="G118">
        <f>COUNTIFS('Quote Log'!$C:$C,"&gt;="&amp;DATE(2023,3,12),'Quote Log'!$C:$C,"&lt;="&amp;DATE(2023,3,18),'Quote Log'!$B:$B,"=Purchased")</f>
        <v>0</v>
      </c>
      <c r="H118" t="e">
        <f t="shared" si="50"/>
        <v>#N/A</v>
      </c>
      <c r="I118" s="339">
        <f t="shared" si="34"/>
        <v>0</v>
      </c>
      <c r="J118" s="339" t="e">
        <f t="shared" si="51"/>
        <v>#N/A</v>
      </c>
      <c r="K118">
        <f>COUNTIFS('Quote Log'!$C:$C,"&gt;="&amp;DATE(2023,3,12),'Quote Log'!$C:$C,"&lt;="&amp;DATE(2023,3,18),'Quote Log'!$B:$B,"=LOST")</f>
        <v>0</v>
      </c>
      <c r="L118">
        <f>COUNTIFS('Quote Log'!$B:$B,"&lt;&gt;VOID",'Quote Log'!$B:$B,"&lt;&gt;Requoted",'Quote Log'!$C:$C,"&gt;="&amp;DATE(2023,3,12),'Quote Log'!$C:$C,"&lt;="&amp;DATE(2023,3,18),'Quote Log'!$V:$V,"=new")</f>
        <v>0</v>
      </c>
      <c r="M118" s="349">
        <f t="shared" si="35"/>
        <v>0</v>
      </c>
      <c r="N118" s="339" t="e">
        <f t="shared" si="52"/>
        <v>#N/A</v>
      </c>
      <c r="O118" s="351">
        <f>SUMIFS('Quote Log'!$AB:$AB,'Quote Log'!$C:$C,"&gt;="&amp;DATE(2023,3,12),'Quote Log'!$C:$C,"&lt;="&amp;DATE(2023,3,18),'Quote Log'!$B:$B,"=Purchased",'Quote Log'!$AB:$AB,"&lt;&gt;#VALUE!")</f>
        <v>0</v>
      </c>
      <c r="P118" s="351" t="e">
        <f t="shared" si="53"/>
        <v>#N/A</v>
      </c>
      <c r="Q118" s="349" t="e">
        <f t="shared" si="42"/>
        <v>#DIV/0!</v>
      </c>
      <c r="R118" s="349" t="e">
        <f t="shared" si="54"/>
        <v>#N/A</v>
      </c>
      <c r="S118" s="351">
        <f t="shared" si="57"/>
        <v>0</v>
      </c>
      <c r="T118" s="351" t="e">
        <f t="shared" si="55"/>
        <v>#N/A</v>
      </c>
      <c r="U118" s="349" t="e">
        <f t="shared" si="45"/>
        <v>#DIV/0!</v>
      </c>
      <c r="V118" s="349" t="e">
        <f t="shared" si="56"/>
        <v>#N/A</v>
      </c>
    </row>
    <row r="119" spans="1:22" x14ac:dyDescent="0.25">
      <c r="A119">
        <v>2023</v>
      </c>
      <c r="B119" s="350">
        <v>12</v>
      </c>
      <c r="C119">
        <f>COUNTIFS('Quote Log'!$B:$B,"&lt;&gt;VOID",'Quote Log'!$B:$B,"&lt;&gt;Requoted",'Quote Log'!$C:$C,"&gt;="&amp;DATE(2023,3,19),'Quote Log'!$C:$C,"&lt;="&amp;DATE(2023,3,25))</f>
        <v>0</v>
      </c>
      <c r="D119" t="e">
        <f t="shared" si="48"/>
        <v>#N/A</v>
      </c>
      <c r="E119">
        <f>COUNTIFS('Quote Log'!$B:$B,"&lt;&gt;VOID",'Quote Log'!$B:$B,"&lt;&gt;Requoted",'Quote Log'!$H:$H,"&gt;="&amp;DATE(2023,3,19),'Quote Log'!$H:$H,"&lt;="&amp;DATE(2023,3,25))</f>
        <v>0</v>
      </c>
      <c r="F119" t="e">
        <f t="shared" si="49"/>
        <v>#N/A</v>
      </c>
      <c r="G119">
        <f>COUNTIFS('Quote Log'!$C:$C,"&gt;="&amp;DATE(2023,3,19),'Quote Log'!$C:$C,"&lt;="&amp;DATE(2023,3,25),'Quote Log'!$B:$B,"=Purchased")</f>
        <v>0</v>
      </c>
      <c r="H119" t="e">
        <f t="shared" si="50"/>
        <v>#N/A</v>
      </c>
      <c r="I119" s="339">
        <f t="shared" si="34"/>
        <v>0</v>
      </c>
      <c r="J119" s="339" t="e">
        <f t="shared" si="51"/>
        <v>#N/A</v>
      </c>
      <c r="K119">
        <f>COUNTIFS('Quote Log'!$C:$C,"&gt;="&amp;DATE(2023,3,19),'Quote Log'!$C:$C,"&lt;="&amp;DATE(2023,3,25),'Quote Log'!$B:$B,"=LOST")</f>
        <v>0</v>
      </c>
      <c r="L119">
        <f>COUNTIFS('Quote Log'!$B:$B,"&lt;&gt;VOID",'Quote Log'!$B:$B,"&lt;&gt;Requoted",'Quote Log'!$C:$C,"&gt;="&amp;DATE(2023,3,19),'Quote Log'!$C:$C,"&lt;="&amp;DATE(2023,3,25),'Quote Log'!$V:$V,"=new")</f>
        <v>0</v>
      </c>
      <c r="M119" s="349">
        <f t="shared" si="35"/>
        <v>0</v>
      </c>
      <c r="N119" s="339" t="e">
        <f t="shared" si="52"/>
        <v>#N/A</v>
      </c>
      <c r="O119" s="351">
        <f>SUMIFS('Quote Log'!$AB:$AB,'Quote Log'!$C:$C,"&gt;="&amp;DATE(2023,3,19),'Quote Log'!$C:$C,"&lt;="&amp;DATE(2023,3,25),'Quote Log'!$B:$B,"=Purchased",'Quote Log'!$AB:$AB,"&lt;&gt;#VALUE!")</f>
        <v>0</v>
      </c>
      <c r="P119" s="351" t="e">
        <f t="shared" si="53"/>
        <v>#N/A</v>
      </c>
      <c r="Q119" s="349" t="e">
        <f t="shared" ref="Q119:Q150" si="58">(O119-O66)/O66</f>
        <v>#DIV/0!</v>
      </c>
      <c r="R119" s="349" t="e">
        <f t="shared" si="54"/>
        <v>#N/A</v>
      </c>
      <c r="S119" s="351">
        <f t="shared" si="57"/>
        <v>0</v>
      </c>
      <c r="T119" s="351" t="e">
        <f t="shared" si="55"/>
        <v>#N/A</v>
      </c>
      <c r="U119" s="349" t="e">
        <f t="shared" ref="U119:U150" si="59">(S119-S66)/S66</f>
        <v>#DIV/0!</v>
      </c>
      <c r="V119" s="349" t="e">
        <f t="shared" si="56"/>
        <v>#N/A</v>
      </c>
    </row>
    <row r="120" spans="1:22" x14ac:dyDescent="0.25">
      <c r="A120">
        <v>2023</v>
      </c>
      <c r="B120" s="350">
        <v>13</v>
      </c>
      <c r="C120">
        <f>COUNTIFS('Quote Log'!$B:$B,"&lt;&gt;VOID",'Quote Log'!$B:$B,"&lt;&gt;Requoted",'Quote Log'!$C:$C,"&gt;="&amp;DATE(2023,3,26),'Quote Log'!$C:$C,"&lt;="&amp;DATE(2023,4,1))</f>
        <v>0</v>
      </c>
      <c r="D120" t="e">
        <f t="shared" si="48"/>
        <v>#N/A</v>
      </c>
      <c r="E120">
        <f>COUNTIFS('Quote Log'!$B:$B,"&lt;&gt;VOID",'Quote Log'!$B:$B,"&lt;&gt;Requoted",'Quote Log'!$H:$H,"&gt;="&amp;DATE(2023,3,26),'Quote Log'!$H:$H,"&lt;="&amp;DATE(2023,4,1))</f>
        <v>0</v>
      </c>
      <c r="F120" t="e">
        <f t="shared" si="49"/>
        <v>#N/A</v>
      </c>
      <c r="G120">
        <f>COUNTIFS('Quote Log'!$C:$C,"&gt;="&amp;DATE(2023,3,26),'Quote Log'!$C:$C,"&lt;="&amp;DATE(2023,4,1),'Quote Log'!$B:$B,"=Purchased")</f>
        <v>0</v>
      </c>
      <c r="H120" t="e">
        <f t="shared" si="50"/>
        <v>#N/A</v>
      </c>
      <c r="I120" s="339">
        <f t="shared" si="34"/>
        <v>0</v>
      </c>
      <c r="J120" s="339" t="e">
        <f t="shared" si="51"/>
        <v>#N/A</v>
      </c>
      <c r="K120">
        <f>COUNTIFS('Quote Log'!$C:$C,"&gt;="&amp;DATE(2023,3,26),'Quote Log'!$C:$C,"&lt;="&amp;DATE(2023,4,1),'Quote Log'!$B:$B,"=LOST")</f>
        <v>0</v>
      </c>
      <c r="L120">
        <f>COUNTIFS('Quote Log'!$B:$B,"&lt;&gt;VOID",'Quote Log'!$B:$B,"&lt;&gt;Requoted",'Quote Log'!$C:$C,"&gt;="&amp;DATE(2023,3,26),'Quote Log'!$C:$C,"&lt;="&amp;DATE(2023,4,1),'Quote Log'!$V:$V,"=new")</f>
        <v>0</v>
      </c>
      <c r="M120" s="349">
        <f t="shared" si="35"/>
        <v>0</v>
      </c>
      <c r="N120" s="339" t="e">
        <f t="shared" si="52"/>
        <v>#N/A</v>
      </c>
      <c r="O120" s="351">
        <f>SUMIFS('Quote Log'!$AB:$AB,'Quote Log'!$C:$C,"&gt;="&amp;DATE(2023,3,26),'Quote Log'!$C:$C,"&lt;="&amp;DATE(2023,4,1),'Quote Log'!$B:$B,"=Purchased",'Quote Log'!$AB:$AB,"&lt;&gt;#VALUE!")</f>
        <v>0</v>
      </c>
      <c r="P120" s="351" t="e">
        <f t="shared" si="53"/>
        <v>#N/A</v>
      </c>
      <c r="Q120" s="349" t="e">
        <f t="shared" si="58"/>
        <v>#DIV/0!</v>
      </c>
      <c r="R120" s="349" t="e">
        <f t="shared" si="54"/>
        <v>#N/A</v>
      </c>
      <c r="S120" s="351">
        <f t="shared" si="57"/>
        <v>0</v>
      </c>
      <c r="T120" s="351" t="e">
        <f t="shared" si="55"/>
        <v>#N/A</v>
      </c>
      <c r="U120" s="349" t="e">
        <f t="shared" si="59"/>
        <v>#DIV/0!</v>
      </c>
      <c r="V120" s="349" t="e">
        <f t="shared" si="56"/>
        <v>#N/A</v>
      </c>
    </row>
    <row r="121" spans="1:22" x14ac:dyDescent="0.25">
      <c r="A121">
        <v>2023</v>
      </c>
      <c r="B121" s="350">
        <v>14</v>
      </c>
      <c r="C121">
        <f>COUNTIFS('Quote Log'!$B:$B,"&lt;&gt;VOID",'Quote Log'!$B:$B,"&lt;&gt;Requoted",'Quote Log'!$C:$C,"&gt;="&amp;DATE(2023,4,2),'Quote Log'!$C:$C,"&lt;="&amp;DATE(2023,4,8))</f>
        <v>0</v>
      </c>
      <c r="D121" t="e">
        <f t="shared" si="48"/>
        <v>#N/A</v>
      </c>
      <c r="E121">
        <f>COUNTIFS('Quote Log'!$B:$B,"&lt;&gt;VOID",'Quote Log'!$B:$B,"&lt;&gt;Requoted",'Quote Log'!$H:$H,"&gt;="&amp;DATE(2023,4,2),'Quote Log'!$H:$H,"&lt;="&amp;DATE(2023,4,8))</f>
        <v>0</v>
      </c>
      <c r="F121" t="e">
        <f t="shared" si="49"/>
        <v>#N/A</v>
      </c>
      <c r="G121">
        <f>COUNTIFS('Quote Log'!$C:$C,"&gt;="&amp;DATE(2023,4,2),'Quote Log'!$C:$C,"&lt;="&amp;DATE(2023,4,8),'Quote Log'!$B:$B,"=Purchased")</f>
        <v>0</v>
      </c>
      <c r="H121" t="e">
        <f t="shared" si="50"/>
        <v>#N/A</v>
      </c>
      <c r="I121" s="339">
        <f t="shared" si="34"/>
        <v>0</v>
      </c>
      <c r="J121" s="339" t="e">
        <f t="shared" si="51"/>
        <v>#N/A</v>
      </c>
      <c r="K121">
        <f>COUNTIFS('Quote Log'!$C:$C,"&gt;="&amp;DATE(2023,4,2),'Quote Log'!$C:$C,"&lt;="&amp;DATE(2023,4,8),'Quote Log'!$B:$B,"=LOST")</f>
        <v>0</v>
      </c>
      <c r="L121">
        <f>COUNTIFS('Quote Log'!$B:$B,"&lt;&gt;VOID",'Quote Log'!$B:$B,"&lt;&gt;Requoted",'Quote Log'!$C:$C,"&gt;="&amp;DATE(2023,4,2),'Quote Log'!$C:$C,"&lt;="&amp;DATE(2023,4,8),'Quote Log'!$V:$V,"=new")</f>
        <v>0</v>
      </c>
      <c r="M121" s="349">
        <f t="shared" si="35"/>
        <v>0</v>
      </c>
      <c r="N121" s="339" t="e">
        <f t="shared" si="52"/>
        <v>#N/A</v>
      </c>
      <c r="O121" s="351">
        <f>SUMIFS('Quote Log'!$AB:$AB,'Quote Log'!$C:$C,"&gt;="&amp;DATE(2023,4,2),'Quote Log'!$C:$C,"&lt;="&amp;DATE(2023,4,8),'Quote Log'!$B:$B,"=Purchased",'Quote Log'!$AB:$AB,"&lt;&gt;#VALUE!")</f>
        <v>0</v>
      </c>
      <c r="P121" s="351" t="e">
        <f t="shared" si="53"/>
        <v>#N/A</v>
      </c>
      <c r="Q121" s="349" t="e">
        <f t="shared" si="58"/>
        <v>#DIV/0!</v>
      </c>
      <c r="R121" s="349" t="e">
        <f t="shared" si="54"/>
        <v>#N/A</v>
      </c>
      <c r="S121" s="351">
        <f t="shared" si="57"/>
        <v>0</v>
      </c>
      <c r="T121" s="351" t="e">
        <f t="shared" si="55"/>
        <v>#N/A</v>
      </c>
      <c r="U121" s="349" t="e">
        <f t="shared" si="59"/>
        <v>#DIV/0!</v>
      </c>
      <c r="V121" s="349" t="e">
        <f t="shared" si="56"/>
        <v>#N/A</v>
      </c>
    </row>
    <row r="122" spans="1:22" x14ac:dyDescent="0.25">
      <c r="A122">
        <v>2023</v>
      </c>
      <c r="B122" s="350">
        <v>15</v>
      </c>
      <c r="C122">
        <f>COUNTIFS('Quote Log'!$B:$B,"&lt;&gt;VOID",'Quote Log'!$B:$B,"&lt;&gt;Requoted",'Quote Log'!$C:$C,"&gt;="&amp;DATE(2023,4,9),'Quote Log'!$C:$C,"&lt;="&amp;DATE(2023,4,15))</f>
        <v>0</v>
      </c>
      <c r="D122" t="e">
        <f t="shared" si="48"/>
        <v>#N/A</v>
      </c>
      <c r="E122">
        <f>COUNTIFS('Quote Log'!$B:$B,"&lt;&gt;VOID",'Quote Log'!$B:$B,"&lt;&gt;Requoted",'Quote Log'!$H:$H,"&gt;="&amp;DATE(2023,4,9),'Quote Log'!$H:$H,"&lt;="&amp;DATE(2023,4,15))</f>
        <v>0</v>
      </c>
      <c r="F122" t="e">
        <f t="shared" si="49"/>
        <v>#N/A</v>
      </c>
      <c r="G122">
        <f>COUNTIFS('Quote Log'!$C:$C,"&gt;="&amp;DATE(2023,4,9),'Quote Log'!$C:$C,"&lt;="&amp;DATE(2023,4,15),'Quote Log'!$B:$B,"=Purchased")</f>
        <v>0</v>
      </c>
      <c r="H122" t="e">
        <f t="shared" si="50"/>
        <v>#N/A</v>
      </c>
      <c r="I122" s="339">
        <f t="shared" si="34"/>
        <v>0</v>
      </c>
      <c r="J122" s="339" t="e">
        <f t="shared" si="51"/>
        <v>#N/A</v>
      </c>
      <c r="K122">
        <f>COUNTIFS('Quote Log'!$C:$C,"&gt;="&amp;DATE(2023,4,9),'Quote Log'!$C:$C,"&lt;="&amp;DATE(2023,4,15),'Quote Log'!$B:$B,"=LOST")</f>
        <v>0</v>
      </c>
      <c r="L122">
        <f>COUNTIFS('Quote Log'!$B:$B,"&lt;&gt;VOID",'Quote Log'!$B:$B,"&lt;&gt;Requoted",'Quote Log'!$C:$C,"&gt;="&amp;DATE(2023,4,9),'Quote Log'!$C:$C,"&lt;="&amp;DATE(2023,4,15),'Quote Log'!$V:$V,"=new")</f>
        <v>0</v>
      </c>
      <c r="M122" s="349">
        <f t="shared" si="35"/>
        <v>0</v>
      </c>
      <c r="N122" s="339" t="e">
        <f t="shared" si="52"/>
        <v>#N/A</v>
      </c>
      <c r="O122" s="351">
        <f>SUMIFS('Quote Log'!$AB:$AB,'Quote Log'!$C:$C,"&gt;="&amp;DATE(2023,4,9),'Quote Log'!$C:$C,"&lt;="&amp;DATE(2023,4,15),'Quote Log'!$B:$B,"=Purchased",'Quote Log'!$AB:$AB,"&lt;&gt;#VALUE!")</f>
        <v>0</v>
      </c>
      <c r="P122" s="351" t="e">
        <f t="shared" si="53"/>
        <v>#N/A</v>
      </c>
      <c r="Q122" s="349" t="e">
        <f t="shared" si="58"/>
        <v>#DIV/0!</v>
      </c>
      <c r="R122" s="349" t="e">
        <f t="shared" si="54"/>
        <v>#N/A</v>
      </c>
      <c r="S122" s="351">
        <f t="shared" si="57"/>
        <v>0</v>
      </c>
      <c r="T122" s="351" t="e">
        <f t="shared" si="55"/>
        <v>#N/A</v>
      </c>
      <c r="U122" s="349" t="e">
        <f t="shared" si="59"/>
        <v>#DIV/0!</v>
      </c>
      <c r="V122" s="349" t="e">
        <f t="shared" si="56"/>
        <v>#N/A</v>
      </c>
    </row>
    <row r="123" spans="1:22" x14ac:dyDescent="0.25">
      <c r="A123">
        <v>2023</v>
      </c>
      <c r="B123" s="350">
        <v>16</v>
      </c>
      <c r="C123">
        <f>COUNTIFS('Quote Log'!$B:$B,"&lt;&gt;VOID",'Quote Log'!$B:$B,"&lt;&gt;Requoted",'Quote Log'!$C:$C,"&gt;="&amp;DATE(2023,4,16),'Quote Log'!$C:$C,"&lt;="&amp;DATE(2023,4,22))</f>
        <v>0</v>
      </c>
      <c r="D123" t="e">
        <f t="shared" si="48"/>
        <v>#N/A</v>
      </c>
      <c r="E123">
        <f>COUNTIFS('Quote Log'!$B:$B,"&lt;&gt;VOID",'Quote Log'!$B:$B,"&lt;&gt;Requoted",'Quote Log'!$H:$H,"&gt;="&amp;DATE(2023,4,16),'Quote Log'!$H:$H,"&lt;="&amp;DATE(2023,4,22))</f>
        <v>0</v>
      </c>
      <c r="F123" t="e">
        <f t="shared" si="49"/>
        <v>#N/A</v>
      </c>
      <c r="G123">
        <f>COUNTIFS('Quote Log'!$C:$C,"&gt;="&amp;DATE(2023,4,16),'Quote Log'!$C:$C,"&lt;="&amp;DATE(2023,4,22),'Quote Log'!$B:$B,"=Purchased")</f>
        <v>0</v>
      </c>
      <c r="H123" t="e">
        <f t="shared" si="50"/>
        <v>#N/A</v>
      </c>
      <c r="I123" s="339">
        <f t="shared" si="34"/>
        <v>0</v>
      </c>
      <c r="J123" s="339" t="e">
        <f t="shared" si="51"/>
        <v>#N/A</v>
      </c>
      <c r="K123">
        <f>COUNTIFS('Quote Log'!$C:$C,"&gt;="&amp;DATE(2023,4,16),'Quote Log'!$C:$C,"&lt;="&amp;DATE(2023,4,22),'Quote Log'!$B:$B,"=LOST")</f>
        <v>0</v>
      </c>
      <c r="L123">
        <f>COUNTIFS('Quote Log'!$B:$B,"&lt;&gt;VOID",'Quote Log'!$B:$B,"&lt;&gt;Requoted",'Quote Log'!$C:$C,"&gt;="&amp;DATE(2023,4,16),'Quote Log'!$C:$C,"&lt;="&amp;DATE(2023,4,22),'Quote Log'!$V:$V,"=new")</f>
        <v>0</v>
      </c>
      <c r="M123" s="349">
        <f t="shared" si="35"/>
        <v>0</v>
      </c>
      <c r="N123" s="339" t="e">
        <f t="shared" si="52"/>
        <v>#N/A</v>
      </c>
      <c r="O123" s="351">
        <f>SUMIFS('Quote Log'!$AB:$AB,'Quote Log'!$C:$C,"&gt;="&amp;DATE(2023,4,16),'Quote Log'!$C:$C,"&lt;="&amp;DATE(2023,4,22),'Quote Log'!$B:$B,"=Purchased",'Quote Log'!$AB:$AB,"&lt;&gt;#VALUE!")</f>
        <v>0</v>
      </c>
      <c r="P123" s="351" t="e">
        <f t="shared" si="53"/>
        <v>#N/A</v>
      </c>
      <c r="Q123" s="349" t="e">
        <f t="shared" si="58"/>
        <v>#DIV/0!</v>
      </c>
      <c r="R123" s="349" t="e">
        <f t="shared" si="54"/>
        <v>#N/A</v>
      </c>
      <c r="S123" s="351">
        <f t="shared" si="57"/>
        <v>0</v>
      </c>
      <c r="T123" s="351" t="e">
        <f t="shared" si="55"/>
        <v>#N/A</v>
      </c>
      <c r="U123" s="349" t="e">
        <f t="shared" si="59"/>
        <v>#DIV/0!</v>
      </c>
      <c r="V123" s="349" t="e">
        <f t="shared" si="56"/>
        <v>#N/A</v>
      </c>
    </row>
    <row r="124" spans="1:22" x14ac:dyDescent="0.25">
      <c r="A124">
        <v>2023</v>
      </c>
      <c r="B124" s="350">
        <v>17</v>
      </c>
      <c r="C124">
        <f>COUNTIFS('Quote Log'!$B:$B,"&lt;&gt;VOID",'Quote Log'!$B:$B,"&lt;&gt;Requoted",'Quote Log'!$C:$C,"&gt;="&amp;DATE(2023,4,23),'Quote Log'!$C:$C,"&lt;="&amp;DATE(2023,4,29))</f>
        <v>0</v>
      </c>
      <c r="D124" t="e">
        <f t="shared" si="48"/>
        <v>#N/A</v>
      </c>
      <c r="E124">
        <f>COUNTIFS('Quote Log'!$B:$B,"&lt;&gt;VOID",'Quote Log'!$B:$B,"&lt;&gt;Requoted",'Quote Log'!$H:$H,"&gt;="&amp;DATE(2023,4,23),'Quote Log'!$H:$H,"&lt;="&amp;DATE(2023,4,29))</f>
        <v>0</v>
      </c>
      <c r="F124" t="e">
        <f t="shared" si="49"/>
        <v>#N/A</v>
      </c>
      <c r="G124">
        <f>COUNTIFS('Quote Log'!$C:$C,"&gt;="&amp;DATE(2023,4,23),'Quote Log'!$C:$C,"&lt;="&amp;DATE(2023,4,29),'Quote Log'!$B:$B,"=Purchased")</f>
        <v>0</v>
      </c>
      <c r="H124" t="e">
        <f t="shared" si="50"/>
        <v>#N/A</v>
      </c>
      <c r="I124" s="339">
        <f t="shared" si="34"/>
        <v>0</v>
      </c>
      <c r="J124" s="339" t="e">
        <f t="shared" si="51"/>
        <v>#N/A</v>
      </c>
      <c r="K124">
        <f>COUNTIFS('Quote Log'!$C:$C,"&gt;="&amp;DATE(2023,4,23),'Quote Log'!$C:$C,"&lt;="&amp;DATE(2023,4,29),'Quote Log'!$B:$B,"=LOST")</f>
        <v>0</v>
      </c>
      <c r="L124">
        <f>COUNTIFS('Quote Log'!$B:$B,"&lt;&gt;VOID",'Quote Log'!$B:$B,"&lt;&gt;Requoted",'Quote Log'!$C:$C,"&gt;="&amp;DATE(2023,4,23),'Quote Log'!$C:$C,"&lt;="&amp;DATE(2023,4,29),'Quote Log'!$V:$V,"=new")</f>
        <v>0</v>
      </c>
      <c r="M124" s="349">
        <f t="shared" si="35"/>
        <v>0</v>
      </c>
      <c r="N124" s="339" t="e">
        <f t="shared" si="52"/>
        <v>#N/A</v>
      </c>
      <c r="O124" s="351">
        <f>SUMIFS('Quote Log'!$AB:$AB,'Quote Log'!$C:$C,"&gt;="&amp;DATE(2023,4,23),'Quote Log'!$C:$C,"&lt;="&amp;DATE(2023,4,29),'Quote Log'!$B:$B,"=Purchased",'Quote Log'!$AB:$AB,"&lt;&gt;#VALUE!")</f>
        <v>0</v>
      </c>
      <c r="P124" s="351" t="e">
        <f t="shared" si="53"/>
        <v>#N/A</v>
      </c>
      <c r="Q124" s="349" t="e">
        <f t="shared" si="58"/>
        <v>#DIV/0!</v>
      </c>
      <c r="R124" s="349" t="e">
        <f t="shared" si="54"/>
        <v>#N/A</v>
      </c>
      <c r="S124" s="351">
        <f t="shared" si="57"/>
        <v>0</v>
      </c>
      <c r="T124" s="351" t="e">
        <f t="shared" si="55"/>
        <v>#N/A</v>
      </c>
      <c r="U124" s="349" t="e">
        <f t="shared" si="59"/>
        <v>#DIV/0!</v>
      </c>
      <c r="V124" s="349" t="e">
        <f t="shared" si="56"/>
        <v>#N/A</v>
      </c>
    </row>
    <row r="125" spans="1:22" x14ac:dyDescent="0.25">
      <c r="A125">
        <v>2023</v>
      </c>
      <c r="B125" s="350">
        <v>18</v>
      </c>
      <c r="C125">
        <f>COUNTIFS('Quote Log'!$B:$B,"&lt;&gt;VOID",'Quote Log'!$B:$B,"&lt;&gt;Requoted",'Quote Log'!$C:$C,"&gt;="&amp;DATE(2023,4,30),'Quote Log'!$C:$C,"&lt;="&amp;DATE(2023,5,6))</f>
        <v>0</v>
      </c>
      <c r="D125" t="e">
        <f t="shared" si="48"/>
        <v>#N/A</v>
      </c>
      <c r="E125">
        <f>COUNTIFS('Quote Log'!$B:$B,"&lt;&gt;VOID",'Quote Log'!$B:$B,"&lt;&gt;Requoted",'Quote Log'!$H:$H,"&gt;="&amp;DATE(2023,4,30),'Quote Log'!$H:$H,"&lt;="&amp;DATE(2023,5,6))</f>
        <v>0</v>
      </c>
      <c r="F125" t="e">
        <f t="shared" si="49"/>
        <v>#N/A</v>
      </c>
      <c r="G125">
        <f>COUNTIFS('Quote Log'!$C:$C,"&gt;="&amp;DATE(2023,4,30),'Quote Log'!$C:$C,"&lt;="&amp;DATE(2023,5,6),'Quote Log'!$B:$B,"=Purchased")</f>
        <v>0</v>
      </c>
      <c r="H125" t="e">
        <f t="shared" si="50"/>
        <v>#N/A</v>
      </c>
      <c r="I125" s="339">
        <f t="shared" si="34"/>
        <v>0</v>
      </c>
      <c r="J125" s="339" t="e">
        <f t="shared" si="51"/>
        <v>#N/A</v>
      </c>
      <c r="K125">
        <f>COUNTIFS('Quote Log'!$C:$C,"&gt;="&amp;DATE(2023,4,30),'Quote Log'!$C:$C,"&lt;="&amp;DATE(2023,5,6),'Quote Log'!$B:$B,"=LOST")</f>
        <v>0</v>
      </c>
      <c r="L125">
        <f>COUNTIFS('Quote Log'!$B:$B,"&lt;&gt;VOID",'Quote Log'!$B:$B,"&lt;&gt;Requoted",'Quote Log'!$C:$C,"&gt;="&amp;DATE(2023,4,30),'Quote Log'!$C:$C,"&lt;="&amp;DATE(2023,5,6),'Quote Log'!$V:$V,"=new")</f>
        <v>0</v>
      </c>
      <c r="M125" s="349">
        <f t="shared" si="35"/>
        <v>0</v>
      </c>
      <c r="N125" s="339" t="e">
        <f t="shared" si="52"/>
        <v>#N/A</v>
      </c>
      <c r="O125" s="351">
        <f>SUMIFS('Quote Log'!$AB:$AB,'Quote Log'!$C:$C,"&gt;="&amp;DATE(2023,4,30),'Quote Log'!$C:$C,"&lt;="&amp;DATE(2023,5,6),'Quote Log'!$B:$B,"=Purchased",'Quote Log'!$AB:$AB,"&lt;&gt;#VALUE!")</f>
        <v>0</v>
      </c>
      <c r="P125" s="351" t="e">
        <f t="shared" si="53"/>
        <v>#N/A</v>
      </c>
      <c r="Q125" s="349" t="e">
        <f t="shared" si="58"/>
        <v>#DIV/0!</v>
      </c>
      <c r="R125" s="349" t="e">
        <f t="shared" si="54"/>
        <v>#N/A</v>
      </c>
      <c r="S125" s="351">
        <f t="shared" si="57"/>
        <v>0</v>
      </c>
      <c r="T125" s="351" t="e">
        <f t="shared" si="55"/>
        <v>#N/A</v>
      </c>
      <c r="U125" s="349" t="e">
        <f t="shared" si="59"/>
        <v>#DIV/0!</v>
      </c>
      <c r="V125" s="349" t="e">
        <f t="shared" si="56"/>
        <v>#N/A</v>
      </c>
    </row>
    <row r="126" spans="1:22" x14ac:dyDescent="0.25">
      <c r="A126">
        <v>2023</v>
      </c>
      <c r="B126" s="350">
        <v>19</v>
      </c>
      <c r="C126">
        <f>COUNTIFS('Quote Log'!$B:$B,"&lt;&gt;VOID",'Quote Log'!$B:$B,"&lt;&gt;Requoted",'Quote Log'!$C:$C,"&gt;="&amp;DATE(2023,5,7),'Quote Log'!$C:$C,"&lt;="&amp;DATE(2023,5,13))</f>
        <v>0</v>
      </c>
      <c r="D126" t="e">
        <f t="shared" si="48"/>
        <v>#N/A</v>
      </c>
      <c r="E126">
        <f>COUNTIFS('Quote Log'!$B:$B,"&lt;&gt;VOID",'Quote Log'!$B:$B,"&lt;&gt;Requoted",'Quote Log'!$H:$H,"&gt;="&amp;DATE(2023,5,7),'Quote Log'!$H:$H,"&lt;="&amp;DATE(2023,5,13))</f>
        <v>0</v>
      </c>
      <c r="F126" t="e">
        <f t="shared" si="49"/>
        <v>#N/A</v>
      </c>
      <c r="G126">
        <f>COUNTIFS('Quote Log'!$C:$C,"&gt;="&amp;DATE(2023,5,7),'Quote Log'!$C:$C,"&lt;="&amp;DATE(2023,5,13),'Quote Log'!$B:$B,"=Purchased")</f>
        <v>0</v>
      </c>
      <c r="H126" t="e">
        <f t="shared" si="50"/>
        <v>#N/A</v>
      </c>
      <c r="I126" s="339">
        <f t="shared" si="34"/>
        <v>0</v>
      </c>
      <c r="J126" s="339" t="e">
        <f t="shared" si="51"/>
        <v>#N/A</v>
      </c>
      <c r="K126">
        <f>COUNTIFS('Quote Log'!$C:$C,"&gt;="&amp;DATE(2023,5,7),'Quote Log'!$C:$C,"&lt;="&amp;DATE(2023,5,13),'Quote Log'!$B:$B,"=LOST")</f>
        <v>0</v>
      </c>
      <c r="L126">
        <f>COUNTIFS('Quote Log'!$B:$B,"&lt;&gt;VOID",'Quote Log'!$B:$B,"&lt;&gt;Requoted",'Quote Log'!$C:$C,"&gt;="&amp;DATE(2023,5,7),'Quote Log'!$C:$C,"&lt;="&amp;DATE(2023,5,13),'Quote Log'!$V:$V,"=new")</f>
        <v>0</v>
      </c>
      <c r="M126" s="349">
        <f t="shared" si="35"/>
        <v>0</v>
      </c>
      <c r="N126" s="339" t="e">
        <f t="shared" si="52"/>
        <v>#N/A</v>
      </c>
      <c r="O126" s="351">
        <f>SUMIFS('Quote Log'!$AB:$AB,'Quote Log'!$C:$C,"&gt;="&amp;DATE(2023,5,7),'Quote Log'!$C:$C,"&lt;="&amp;DATE(2023,5,13),'Quote Log'!$B:$B,"=Purchased",'Quote Log'!$AB:$AB,"&lt;&gt;#VALUE!")</f>
        <v>0</v>
      </c>
      <c r="P126" s="351" t="e">
        <f t="shared" si="53"/>
        <v>#N/A</v>
      </c>
      <c r="Q126" s="349" t="e">
        <f t="shared" si="58"/>
        <v>#DIV/0!</v>
      </c>
      <c r="R126" s="349" t="e">
        <f t="shared" si="54"/>
        <v>#N/A</v>
      </c>
      <c r="S126" s="351">
        <f t="shared" si="57"/>
        <v>0</v>
      </c>
      <c r="T126" s="351" t="e">
        <f t="shared" si="55"/>
        <v>#N/A</v>
      </c>
      <c r="U126" s="349" t="e">
        <f t="shared" si="59"/>
        <v>#DIV/0!</v>
      </c>
      <c r="V126" s="349" t="e">
        <f t="shared" si="56"/>
        <v>#N/A</v>
      </c>
    </row>
    <row r="127" spans="1:22" x14ac:dyDescent="0.25">
      <c r="A127">
        <v>2023</v>
      </c>
      <c r="B127" s="350">
        <v>20</v>
      </c>
      <c r="C127">
        <f>COUNTIFS('Quote Log'!$B:$B,"&lt;&gt;VOID",'Quote Log'!$B:$B,"&lt;&gt;Requoted",'Quote Log'!$C:$C,"&gt;="&amp;DATE(2023,5,14),'Quote Log'!$C:$C,"&lt;="&amp;DATE(2023,5,20))</f>
        <v>0</v>
      </c>
      <c r="D127" t="e">
        <f t="shared" si="48"/>
        <v>#N/A</v>
      </c>
      <c r="E127">
        <f>COUNTIFS('Quote Log'!$B:$B,"&lt;&gt;VOID",'Quote Log'!$B:$B,"&lt;&gt;Requoted",'Quote Log'!$H:$H,"&gt;="&amp;DATE(2023,5,14),'Quote Log'!$H:$H,"&lt;="&amp;DATE(2023,5,20))</f>
        <v>0</v>
      </c>
      <c r="F127" t="e">
        <f t="shared" si="49"/>
        <v>#N/A</v>
      </c>
      <c r="G127">
        <f>COUNTIFS('Quote Log'!$C:$C,"&gt;="&amp;DATE(2023,5,14),'Quote Log'!$C:$C,"&lt;="&amp;DATE(2023,5,20),'Quote Log'!$B:$B,"=Purchased")</f>
        <v>0</v>
      </c>
      <c r="H127" t="e">
        <f t="shared" si="50"/>
        <v>#N/A</v>
      </c>
      <c r="I127" s="339">
        <f t="shared" si="34"/>
        <v>0</v>
      </c>
      <c r="J127" s="339" t="e">
        <f t="shared" si="51"/>
        <v>#N/A</v>
      </c>
      <c r="K127">
        <f>COUNTIFS('Quote Log'!$C:$C,"&gt;="&amp;DATE(2023,5,14),'Quote Log'!$C:$C,"&lt;="&amp;DATE(2023,5,20),'Quote Log'!$B:$B,"=LOST")</f>
        <v>0</v>
      </c>
      <c r="L127">
        <f>COUNTIFS('Quote Log'!$B:$B,"&lt;&gt;VOID",'Quote Log'!$B:$B,"&lt;&gt;Requoted",'Quote Log'!$C:$C,"&gt;="&amp;DATE(2023,5,14),'Quote Log'!$C:$C,"&lt;="&amp;DATE(2023,5,20),'Quote Log'!$V:$V,"=new")</f>
        <v>0</v>
      </c>
      <c r="M127" s="349">
        <f t="shared" si="35"/>
        <v>0</v>
      </c>
      <c r="N127" s="339" t="e">
        <f t="shared" si="52"/>
        <v>#N/A</v>
      </c>
      <c r="O127" s="351">
        <f>SUMIFS('Quote Log'!$AB:$AB,'Quote Log'!$C:$C,"&gt;="&amp;DATE(2023,5,14),'Quote Log'!$C:$C,"&lt;="&amp;DATE(2023,5,20),'Quote Log'!$B:$B,"=Purchased",'Quote Log'!$AB:$AB,"&lt;&gt;#VALUE!")</f>
        <v>0</v>
      </c>
      <c r="P127" s="351" t="e">
        <f t="shared" si="53"/>
        <v>#N/A</v>
      </c>
      <c r="Q127" s="349" t="e">
        <f t="shared" si="58"/>
        <v>#DIV/0!</v>
      </c>
      <c r="R127" s="349" t="e">
        <f t="shared" si="54"/>
        <v>#N/A</v>
      </c>
      <c r="S127" s="351">
        <f t="shared" si="57"/>
        <v>0</v>
      </c>
      <c r="T127" s="351" t="e">
        <f t="shared" si="55"/>
        <v>#N/A</v>
      </c>
      <c r="U127" s="349" t="e">
        <f t="shared" si="59"/>
        <v>#DIV/0!</v>
      </c>
      <c r="V127" s="349" t="e">
        <f t="shared" si="56"/>
        <v>#N/A</v>
      </c>
    </row>
    <row r="128" spans="1:22" x14ac:dyDescent="0.25">
      <c r="A128">
        <v>2023</v>
      </c>
      <c r="B128" s="350">
        <v>21</v>
      </c>
      <c r="C128">
        <f>COUNTIFS('Quote Log'!$B:$B,"&lt;&gt;VOID",'Quote Log'!$B:$B,"&lt;&gt;Requoted",'Quote Log'!$C:$C,"&gt;="&amp;DATE(2023,5,21),'Quote Log'!$C:$C,"&lt;="&amp;DATE(2023,5,27))</f>
        <v>0</v>
      </c>
      <c r="D128" t="e">
        <f t="shared" si="48"/>
        <v>#N/A</v>
      </c>
      <c r="E128">
        <f>COUNTIFS('Quote Log'!$B:$B,"&lt;&gt;VOID",'Quote Log'!$B:$B,"&lt;&gt;Requoted",'Quote Log'!$H:$H,"&gt;="&amp;DATE(2023,5,21),'Quote Log'!$H:$H,"&lt;="&amp;DATE(2023,5,27))</f>
        <v>0</v>
      </c>
      <c r="F128" t="e">
        <f t="shared" si="49"/>
        <v>#N/A</v>
      </c>
      <c r="G128">
        <f>COUNTIFS('Quote Log'!$C:$C,"&gt;="&amp;DATE(2023,5,21),'Quote Log'!$C:$C,"&lt;="&amp;DATE(2023,5,27),'Quote Log'!$B:$B,"=Purchased")</f>
        <v>0</v>
      </c>
      <c r="H128" t="e">
        <f t="shared" si="50"/>
        <v>#N/A</v>
      </c>
      <c r="I128" s="339">
        <f t="shared" si="34"/>
        <v>0</v>
      </c>
      <c r="J128" s="339" t="e">
        <f t="shared" si="51"/>
        <v>#N/A</v>
      </c>
      <c r="K128">
        <f>COUNTIFS('Quote Log'!$C:$C,"&gt;="&amp;DATE(2023,5,21),'Quote Log'!$C:$C,"&lt;="&amp;DATE(2023,5,27),'Quote Log'!$B:$B,"=LOST")</f>
        <v>0</v>
      </c>
      <c r="L128">
        <f>COUNTIFS('Quote Log'!$B:$B,"&lt;&gt;VOID",'Quote Log'!$B:$B,"&lt;&gt;Requoted",'Quote Log'!$C:$C,"&gt;="&amp;DATE(2023,5,21),'Quote Log'!$C:$C,"&lt;="&amp;DATE(2023,5,27),'Quote Log'!$V:$V,"=new")</f>
        <v>0</v>
      </c>
      <c r="M128" s="349">
        <f t="shared" si="35"/>
        <v>0</v>
      </c>
      <c r="N128" s="339" t="e">
        <f t="shared" si="52"/>
        <v>#N/A</v>
      </c>
      <c r="O128" s="351">
        <f>SUMIFS('Quote Log'!$AB:$AB,'Quote Log'!$C:$C,"&gt;="&amp;DATE(2023,5,21),'Quote Log'!$C:$C,"&lt;="&amp;DATE(2023,5,27),'Quote Log'!$B:$B,"=Purchased",'Quote Log'!$AB:$AB,"&lt;&gt;#VALUE!")</f>
        <v>0</v>
      </c>
      <c r="P128" s="351" t="e">
        <f t="shared" si="53"/>
        <v>#N/A</v>
      </c>
      <c r="Q128" s="349" t="e">
        <f t="shared" si="58"/>
        <v>#DIV/0!</v>
      </c>
      <c r="R128" s="349" t="e">
        <f t="shared" si="54"/>
        <v>#N/A</v>
      </c>
      <c r="S128" s="351">
        <f t="shared" si="57"/>
        <v>0</v>
      </c>
      <c r="T128" s="351" t="e">
        <f t="shared" si="55"/>
        <v>#N/A</v>
      </c>
      <c r="U128" s="349" t="e">
        <f t="shared" si="59"/>
        <v>#DIV/0!</v>
      </c>
      <c r="V128" s="349" t="e">
        <f t="shared" si="56"/>
        <v>#N/A</v>
      </c>
    </row>
    <row r="129" spans="1:22" x14ac:dyDescent="0.25">
      <c r="A129">
        <v>2023</v>
      </c>
      <c r="B129" s="350">
        <v>22</v>
      </c>
      <c r="C129">
        <f>COUNTIFS('Quote Log'!$B:$B,"&lt;&gt;VOID",'Quote Log'!$B:$B,"&lt;&gt;Requoted",'Quote Log'!$C:$C,"&gt;="&amp;DATE(2023,5,28),'Quote Log'!$C:$C,"&lt;="&amp;DATE(2023,6,3))</f>
        <v>0</v>
      </c>
      <c r="D129" t="e">
        <f t="shared" si="48"/>
        <v>#N/A</v>
      </c>
      <c r="E129">
        <f>COUNTIFS('Quote Log'!$B:$B,"&lt;&gt;VOID",'Quote Log'!$B:$B,"&lt;&gt;Requoted",'Quote Log'!$H:$H,"&gt;="&amp;DATE(2023,5,28),'Quote Log'!$H:$H,"&lt;="&amp;DATE(2023,6,3))</f>
        <v>0</v>
      </c>
      <c r="F129" t="e">
        <f t="shared" si="49"/>
        <v>#N/A</v>
      </c>
      <c r="G129">
        <f>COUNTIFS('Quote Log'!$C:$C,"&gt;="&amp;DATE(2023,5,28),'Quote Log'!$C:$C,"&lt;="&amp;DATE(2023,6,3),'Quote Log'!$B:$B,"=Purchased")</f>
        <v>0</v>
      </c>
      <c r="H129" t="e">
        <f t="shared" si="50"/>
        <v>#N/A</v>
      </c>
      <c r="I129" s="339">
        <f t="shared" si="34"/>
        <v>0</v>
      </c>
      <c r="J129" s="339" t="e">
        <f t="shared" si="51"/>
        <v>#N/A</v>
      </c>
      <c r="K129">
        <f>COUNTIFS('Quote Log'!$C:$C,"&gt;="&amp;DATE(2023,5,28),'Quote Log'!$C:$C,"&lt;="&amp;DATE(2023,6,3),'Quote Log'!$B:$B,"=LOST")</f>
        <v>0</v>
      </c>
      <c r="L129">
        <f>COUNTIFS('Quote Log'!$B:$B,"&lt;&gt;VOID",'Quote Log'!$B:$B,"&lt;&gt;Requoted",'Quote Log'!$C:$C,"&gt;="&amp;DATE(2023,5,28),'Quote Log'!$C:$C,"&lt;="&amp;DATE(2023,6,3),'Quote Log'!$V:$V,"=new")</f>
        <v>0</v>
      </c>
      <c r="M129" s="349">
        <f t="shared" si="35"/>
        <v>0</v>
      </c>
      <c r="N129" s="339" t="e">
        <f t="shared" si="52"/>
        <v>#N/A</v>
      </c>
      <c r="O129" s="351">
        <f>SUMIFS('Quote Log'!$AB:$AB,'Quote Log'!$C:$C,"&gt;="&amp;DATE(2023,5,28),'Quote Log'!$C:$C,"&lt;="&amp;DATE(2023,6,3),'Quote Log'!$B:$B,"=Purchased",'Quote Log'!$AB:$AB,"&lt;&gt;#VALUE!")</f>
        <v>0</v>
      </c>
      <c r="P129" s="351" t="e">
        <f t="shared" si="53"/>
        <v>#N/A</v>
      </c>
      <c r="Q129" s="349" t="e">
        <f t="shared" si="58"/>
        <v>#DIV/0!</v>
      </c>
      <c r="R129" s="349" t="e">
        <f t="shared" si="54"/>
        <v>#N/A</v>
      </c>
      <c r="S129" s="351">
        <f t="shared" si="57"/>
        <v>0</v>
      </c>
      <c r="T129" s="351" t="e">
        <f t="shared" si="55"/>
        <v>#N/A</v>
      </c>
      <c r="U129" s="349" t="e">
        <f t="shared" si="59"/>
        <v>#DIV/0!</v>
      </c>
      <c r="V129" s="349" t="e">
        <f t="shared" si="56"/>
        <v>#N/A</v>
      </c>
    </row>
    <row r="130" spans="1:22" x14ac:dyDescent="0.25">
      <c r="A130">
        <v>2023</v>
      </c>
      <c r="B130" s="350">
        <v>23</v>
      </c>
      <c r="C130">
        <f>COUNTIFS('Quote Log'!$B:$B,"&lt;&gt;VOID",'Quote Log'!$B:$B,"&lt;&gt;Requoted",'Quote Log'!$C:$C,"&gt;="&amp;DATE(2023,6,4),'Quote Log'!$C:$C,"&lt;="&amp;DATE(2023,6,10))</f>
        <v>0</v>
      </c>
      <c r="D130" t="e">
        <f t="shared" si="48"/>
        <v>#N/A</v>
      </c>
      <c r="E130">
        <f>COUNTIFS('Quote Log'!$B:$B,"&lt;&gt;VOID",'Quote Log'!$B:$B,"&lt;&gt;Requoted",'Quote Log'!$H:$H,"&gt;="&amp;DATE(2023,6,4),'Quote Log'!$H:$H,"&lt;="&amp;DATE(2023,6,10))</f>
        <v>0</v>
      </c>
      <c r="F130" t="e">
        <f t="shared" si="49"/>
        <v>#N/A</v>
      </c>
      <c r="G130">
        <f>COUNTIFS('Quote Log'!$C:$C,"&gt;="&amp;DATE(2023,6,4),'Quote Log'!$C:$C,"&lt;="&amp;DATE(2023,6,10),'Quote Log'!$B:$B,"=Purchased")</f>
        <v>0</v>
      </c>
      <c r="H130" t="e">
        <f t="shared" si="50"/>
        <v>#N/A</v>
      </c>
      <c r="I130" s="339">
        <f t="shared" ref="I130:I193" si="60">IF(C130&lt;&gt;0,G130/C130,0)</f>
        <v>0</v>
      </c>
      <c r="J130" s="339" t="e">
        <f t="shared" si="51"/>
        <v>#N/A</v>
      </c>
      <c r="K130">
        <f>COUNTIFS('Quote Log'!$C:$C,"&gt;="&amp;DATE(2023,6,4),'Quote Log'!$C:$C,"&lt;="&amp;DATE(2023,6,10),'Quote Log'!$B:$B,"=LOST")</f>
        <v>0</v>
      </c>
      <c r="L130">
        <f>COUNTIFS('Quote Log'!$B:$B,"&lt;&gt;VOID",'Quote Log'!$B:$B,"&lt;&gt;Requoted",'Quote Log'!$C:$C,"&gt;="&amp;DATE(2023,6,4),'Quote Log'!$C:$C,"&lt;="&amp;DATE(2023,6,10),'Quote Log'!$V:$V,"=new")</f>
        <v>0</v>
      </c>
      <c r="M130" s="349">
        <f t="shared" ref="M130:M193" si="61">IF(C130&lt;&gt;0,L130/C130,0)</f>
        <v>0</v>
      </c>
      <c r="N130" s="339" t="e">
        <f t="shared" si="52"/>
        <v>#N/A</v>
      </c>
      <c r="O130" s="351">
        <f>SUMIFS('Quote Log'!$AB:$AB,'Quote Log'!$C:$C,"&gt;="&amp;DATE(2023,6,4),'Quote Log'!$C:$C,"&lt;="&amp;DATE(2023,6,10),'Quote Log'!$B:$B,"=Purchased",'Quote Log'!$AB:$AB,"&lt;&gt;#VALUE!")</f>
        <v>0</v>
      </c>
      <c r="P130" s="351" t="e">
        <f t="shared" si="53"/>
        <v>#N/A</v>
      </c>
      <c r="Q130" s="349" t="e">
        <f t="shared" si="58"/>
        <v>#DIV/0!</v>
      </c>
      <c r="R130" s="349" t="e">
        <f t="shared" si="54"/>
        <v>#N/A</v>
      </c>
      <c r="S130" s="351">
        <f t="shared" si="57"/>
        <v>0</v>
      </c>
      <c r="T130" s="351" t="e">
        <f t="shared" si="55"/>
        <v>#N/A</v>
      </c>
      <c r="U130" s="349" t="e">
        <f t="shared" si="59"/>
        <v>#DIV/0!</v>
      </c>
      <c r="V130" s="349" t="e">
        <f t="shared" si="56"/>
        <v>#N/A</v>
      </c>
    </row>
    <row r="131" spans="1:22" x14ac:dyDescent="0.25">
      <c r="A131">
        <v>2023</v>
      </c>
      <c r="B131" s="350">
        <v>24</v>
      </c>
      <c r="C131">
        <f>COUNTIFS('Quote Log'!$B:$B,"&lt;&gt;VOID",'Quote Log'!$B:$B,"&lt;&gt;Requoted",'Quote Log'!$C:$C,"&gt;="&amp;DATE(2023,6,11),'Quote Log'!$C:$C,"&lt;="&amp;DATE(2023,6,17))</f>
        <v>0</v>
      </c>
      <c r="D131" t="e">
        <f t="shared" si="48"/>
        <v>#N/A</v>
      </c>
      <c r="E131">
        <f>COUNTIFS('Quote Log'!$B:$B,"&lt;&gt;VOID",'Quote Log'!$B:$B,"&lt;&gt;Requoted",'Quote Log'!$H:$H,"&gt;="&amp;DATE(2023,6,11),'Quote Log'!$H:$H,"&lt;="&amp;DATE(2023,6,17))</f>
        <v>0</v>
      </c>
      <c r="F131" t="e">
        <f t="shared" si="49"/>
        <v>#N/A</v>
      </c>
      <c r="G131">
        <f>COUNTIFS('Quote Log'!$C:$C,"&gt;="&amp;DATE(2023,6,11),'Quote Log'!$C:$C,"&lt;="&amp;DATE(2023,6,17),'Quote Log'!$B:$B,"=Purchased")</f>
        <v>0</v>
      </c>
      <c r="H131" t="e">
        <f t="shared" si="50"/>
        <v>#N/A</v>
      </c>
      <c r="I131" s="339">
        <f t="shared" si="60"/>
        <v>0</v>
      </c>
      <c r="J131" s="339" t="e">
        <f t="shared" si="51"/>
        <v>#N/A</v>
      </c>
      <c r="K131">
        <f>COUNTIFS('Quote Log'!$C:$C,"&gt;="&amp;DATE(2023,6,11),'Quote Log'!$C:$C,"&lt;="&amp;DATE(2023,6,17),'Quote Log'!$B:$B,"=LOST")</f>
        <v>0</v>
      </c>
      <c r="L131">
        <f>COUNTIFS('Quote Log'!$B:$B,"&lt;&gt;VOID",'Quote Log'!$B:$B,"&lt;&gt;Requoted",'Quote Log'!$C:$C,"&gt;="&amp;DATE(2023,6,11),'Quote Log'!$C:$C,"&lt;="&amp;DATE(2023,6,17),'Quote Log'!$V:$V,"=new")</f>
        <v>0</v>
      </c>
      <c r="M131" s="349">
        <f t="shared" si="61"/>
        <v>0</v>
      </c>
      <c r="N131" s="339" t="e">
        <f t="shared" si="52"/>
        <v>#N/A</v>
      </c>
      <c r="O131" s="351">
        <f>SUMIFS('Quote Log'!$AB:$AB,'Quote Log'!$C:$C,"&gt;="&amp;DATE(2023,6,11),'Quote Log'!$C:$C,"&lt;="&amp;DATE(2023,6,17),'Quote Log'!$B:$B,"=Purchased",'Quote Log'!$AB:$AB,"&lt;&gt;#VALUE!")</f>
        <v>0</v>
      </c>
      <c r="P131" s="351" t="e">
        <f t="shared" si="53"/>
        <v>#N/A</v>
      </c>
      <c r="Q131" s="349" t="e">
        <f t="shared" si="58"/>
        <v>#DIV/0!</v>
      </c>
      <c r="R131" s="349" t="e">
        <f t="shared" si="54"/>
        <v>#N/A</v>
      </c>
      <c r="S131" s="351">
        <f t="shared" si="57"/>
        <v>0</v>
      </c>
      <c r="T131" s="351" t="e">
        <f t="shared" si="55"/>
        <v>#N/A</v>
      </c>
      <c r="U131" s="349" t="e">
        <f t="shared" si="59"/>
        <v>#DIV/0!</v>
      </c>
      <c r="V131" s="349" t="e">
        <f t="shared" si="56"/>
        <v>#N/A</v>
      </c>
    </row>
    <row r="132" spans="1:22" x14ac:dyDescent="0.25">
      <c r="A132">
        <v>2023</v>
      </c>
      <c r="B132" s="350">
        <v>25</v>
      </c>
      <c r="C132">
        <f>COUNTIFS('Quote Log'!$B:$B,"&lt;&gt;VOID",'Quote Log'!$B:$B,"&lt;&gt;Requoted",'Quote Log'!$C:$C,"&gt;="&amp;DATE(2023,6,18),'Quote Log'!$C:$C,"&lt;="&amp;DATE(2023,6,24))</f>
        <v>0</v>
      </c>
      <c r="D132" t="e">
        <f t="shared" si="48"/>
        <v>#N/A</v>
      </c>
      <c r="E132">
        <f>COUNTIFS('Quote Log'!$B:$B,"&lt;&gt;VOID",'Quote Log'!$B:$B,"&lt;&gt;Requoted",'Quote Log'!$H:$H,"&gt;="&amp;DATE(2023,6,18),'Quote Log'!$H:$H,"&lt;="&amp;DATE(2023,6,24))</f>
        <v>0</v>
      </c>
      <c r="F132" t="e">
        <f t="shared" si="49"/>
        <v>#N/A</v>
      </c>
      <c r="G132">
        <f>COUNTIFS('Quote Log'!$C:$C,"&gt;="&amp;DATE(2023,6,18),'Quote Log'!$C:$C,"&lt;="&amp;DATE(2023,6,24),'Quote Log'!$B:$B,"=Purchased")</f>
        <v>0</v>
      </c>
      <c r="H132" t="e">
        <f t="shared" si="50"/>
        <v>#N/A</v>
      </c>
      <c r="I132" s="339">
        <f t="shared" si="60"/>
        <v>0</v>
      </c>
      <c r="J132" s="339" t="e">
        <f t="shared" si="51"/>
        <v>#N/A</v>
      </c>
      <c r="K132">
        <f>COUNTIFS('Quote Log'!$C:$C,"&gt;="&amp;DATE(2023,6,18),'Quote Log'!$C:$C,"&lt;="&amp;DATE(2023,6,24),'Quote Log'!$B:$B,"=LOST")</f>
        <v>0</v>
      </c>
      <c r="L132">
        <f>COUNTIFS('Quote Log'!$B:$B,"&lt;&gt;VOID",'Quote Log'!$B:$B,"&lt;&gt;Requoted",'Quote Log'!$C:$C,"&gt;="&amp;DATE(2023,6,18),'Quote Log'!$C:$C,"&lt;="&amp;DATE(2023,6,24),'Quote Log'!$V:$V,"=new")</f>
        <v>0</v>
      </c>
      <c r="M132" s="349">
        <f t="shared" si="61"/>
        <v>0</v>
      </c>
      <c r="N132" s="339" t="e">
        <f t="shared" si="52"/>
        <v>#N/A</v>
      </c>
      <c r="O132" s="351">
        <f>SUMIFS('Quote Log'!$AB:$AB,'Quote Log'!$C:$C,"&gt;="&amp;DATE(2023,6,18),'Quote Log'!$C:$C,"&lt;="&amp;DATE(2023,6,24),'Quote Log'!$B:$B,"=Purchased",'Quote Log'!$AB:$AB,"&lt;&gt;#VALUE!")</f>
        <v>0</v>
      </c>
      <c r="P132" s="351" t="e">
        <f t="shared" si="53"/>
        <v>#N/A</v>
      </c>
      <c r="Q132" s="349" t="e">
        <f t="shared" si="58"/>
        <v>#DIV/0!</v>
      </c>
      <c r="R132" s="349" t="e">
        <f t="shared" si="54"/>
        <v>#N/A</v>
      </c>
      <c r="S132" s="351">
        <f t="shared" si="57"/>
        <v>0</v>
      </c>
      <c r="T132" s="351" t="e">
        <f t="shared" si="55"/>
        <v>#N/A</v>
      </c>
      <c r="U132" s="349" t="e">
        <f t="shared" si="59"/>
        <v>#DIV/0!</v>
      </c>
      <c r="V132" s="349" t="e">
        <f t="shared" si="56"/>
        <v>#N/A</v>
      </c>
    </row>
    <row r="133" spans="1:22" x14ac:dyDescent="0.25">
      <c r="A133">
        <v>2023</v>
      </c>
      <c r="B133" s="350">
        <v>26</v>
      </c>
      <c r="C133">
        <f>COUNTIFS('Quote Log'!$B:$B,"&lt;&gt;VOID",'Quote Log'!$B:$B,"&lt;&gt;Requoted",'Quote Log'!$C:$C,"&gt;="&amp;DATE(2023,6,25),'Quote Log'!$C:$C,"&lt;="&amp;DATE(2023,7,1))</f>
        <v>0</v>
      </c>
      <c r="D133" t="e">
        <f t="shared" si="48"/>
        <v>#N/A</v>
      </c>
      <c r="E133">
        <f>COUNTIFS('Quote Log'!$B:$B,"&lt;&gt;VOID",'Quote Log'!$B:$B,"&lt;&gt;Requoted",'Quote Log'!$H:$H,"&gt;="&amp;DATE(2023,6,25),'Quote Log'!$H:$H,"&lt;="&amp;DATE(2023,7,1))</f>
        <v>0</v>
      </c>
      <c r="F133" t="e">
        <f t="shared" si="49"/>
        <v>#N/A</v>
      </c>
      <c r="G133">
        <f>COUNTIFS('Quote Log'!$C:$C,"&gt;="&amp;DATE(2023,6,25),'Quote Log'!$C:$C,"&lt;="&amp;DATE(2023,7,1),'Quote Log'!$B:$B,"=Purchased")</f>
        <v>0</v>
      </c>
      <c r="H133" t="e">
        <f t="shared" si="50"/>
        <v>#N/A</v>
      </c>
      <c r="I133" s="339">
        <f t="shared" si="60"/>
        <v>0</v>
      </c>
      <c r="J133" s="339" t="e">
        <f t="shared" si="51"/>
        <v>#N/A</v>
      </c>
      <c r="K133">
        <f>COUNTIFS('Quote Log'!$C:$C,"&gt;="&amp;DATE(2023,6,25),'Quote Log'!$C:$C,"&lt;="&amp;DATE(2023,7,1),'Quote Log'!$B:$B,"=LOST")</f>
        <v>0</v>
      </c>
      <c r="L133">
        <f>COUNTIFS('Quote Log'!$B:$B,"&lt;&gt;VOID",'Quote Log'!$B:$B,"&lt;&gt;Requoted",'Quote Log'!$C:$C,"&gt;="&amp;DATE(2023,6,25),'Quote Log'!$C:$C,"&lt;="&amp;DATE(2023,7,1),'Quote Log'!$V:$V,"=new")</f>
        <v>0</v>
      </c>
      <c r="M133" s="349">
        <f t="shared" si="61"/>
        <v>0</v>
      </c>
      <c r="N133" s="339" t="e">
        <f t="shared" si="52"/>
        <v>#N/A</v>
      </c>
      <c r="O133" s="351">
        <f>SUMIFS('Quote Log'!$AB:$AB,'Quote Log'!$C:$C,"&gt;="&amp;DATE(2023,6,25),'Quote Log'!$C:$C,"&lt;="&amp;DATE(2023,7,1),'Quote Log'!$B:$B,"=Purchased",'Quote Log'!$AB:$AB,"&lt;&gt;#VALUE!")</f>
        <v>0</v>
      </c>
      <c r="P133" s="351" t="e">
        <f t="shared" si="53"/>
        <v>#N/A</v>
      </c>
      <c r="Q133" s="349" t="e">
        <f t="shared" si="58"/>
        <v>#DIV/0!</v>
      </c>
      <c r="R133" s="349" t="e">
        <f t="shared" si="54"/>
        <v>#N/A</v>
      </c>
      <c r="S133" s="351">
        <f t="shared" si="57"/>
        <v>0</v>
      </c>
      <c r="T133" s="351" t="e">
        <f t="shared" si="55"/>
        <v>#N/A</v>
      </c>
      <c r="U133" s="349" t="e">
        <f t="shared" si="59"/>
        <v>#DIV/0!</v>
      </c>
      <c r="V133" s="349" t="e">
        <f t="shared" si="56"/>
        <v>#N/A</v>
      </c>
    </row>
    <row r="134" spans="1:22" x14ac:dyDescent="0.25">
      <c r="A134">
        <v>2023</v>
      </c>
      <c r="B134" s="350">
        <v>27</v>
      </c>
      <c r="C134">
        <f>COUNTIFS('Quote Log'!$B:$B,"&lt;&gt;VOID",'Quote Log'!$B:$B,"&lt;&gt;Requoted",'Quote Log'!$C:$C,"&gt;="&amp;DATE(2023,7,2),'Quote Log'!$C:$C,"&lt;="&amp;DATE(2023,7,8))</f>
        <v>0</v>
      </c>
      <c r="D134" t="e">
        <f t="shared" si="48"/>
        <v>#N/A</v>
      </c>
      <c r="E134">
        <f>COUNTIFS('Quote Log'!$B:$B,"&lt;&gt;VOID",'Quote Log'!$B:$B,"&lt;&gt;Requoted",'Quote Log'!$H:$H,"&gt;="&amp;DATE(2023,7,2),'Quote Log'!$H:$H,"&lt;="&amp;DATE(2023,7,8))</f>
        <v>0</v>
      </c>
      <c r="F134" t="e">
        <f t="shared" si="49"/>
        <v>#N/A</v>
      </c>
      <c r="G134">
        <f>COUNTIFS('Quote Log'!$C:$C,"&gt;="&amp;DATE(2023,7,2),'Quote Log'!$C:$C,"&lt;="&amp;DATE(2023,7,8),'Quote Log'!$B:$B,"=Purchased")</f>
        <v>0</v>
      </c>
      <c r="H134" t="e">
        <f t="shared" si="50"/>
        <v>#N/A</v>
      </c>
      <c r="I134" s="339">
        <f t="shared" si="60"/>
        <v>0</v>
      </c>
      <c r="J134" s="339" t="e">
        <f t="shared" si="51"/>
        <v>#N/A</v>
      </c>
      <c r="K134">
        <f>COUNTIFS('Quote Log'!$C:$C,"&gt;="&amp;DATE(2023,7,2),'Quote Log'!$C:$C,"&lt;="&amp;DATE(2023,7,8),'Quote Log'!$B:$B,"=LOST")</f>
        <v>0</v>
      </c>
      <c r="L134">
        <f>COUNTIFS('Quote Log'!$B:$B,"&lt;&gt;VOID",'Quote Log'!$B:$B,"&lt;&gt;Requoted",'Quote Log'!$C:$C,"&gt;="&amp;DATE(2023,7,2),'Quote Log'!$C:$C,"&lt;="&amp;DATE(2023,7,8),'Quote Log'!$V:$V,"=new")</f>
        <v>0</v>
      </c>
      <c r="M134" s="349">
        <f t="shared" si="61"/>
        <v>0</v>
      </c>
      <c r="N134" s="339" t="e">
        <f t="shared" si="52"/>
        <v>#N/A</v>
      </c>
      <c r="O134" s="351">
        <f>SUMIFS('Quote Log'!$AB:$AB,'Quote Log'!$C:$C,"&gt;="&amp;DATE(2023,7,2),'Quote Log'!$C:$C,"&lt;="&amp;DATE(2023,7,8),'Quote Log'!$B:$B,"=Purchased",'Quote Log'!$AB:$AB,"&lt;&gt;#VALUE!")</f>
        <v>0</v>
      </c>
      <c r="P134" s="351" t="e">
        <f t="shared" si="53"/>
        <v>#N/A</v>
      </c>
      <c r="Q134" s="349" t="e">
        <f t="shared" si="58"/>
        <v>#DIV/0!</v>
      </c>
      <c r="R134" s="349" t="e">
        <f t="shared" si="54"/>
        <v>#N/A</v>
      </c>
      <c r="S134" s="351">
        <f t="shared" si="57"/>
        <v>0</v>
      </c>
      <c r="T134" s="351" t="e">
        <f t="shared" si="55"/>
        <v>#N/A</v>
      </c>
      <c r="U134" s="349" t="e">
        <f t="shared" si="59"/>
        <v>#DIV/0!</v>
      </c>
      <c r="V134" s="349" t="e">
        <f t="shared" si="56"/>
        <v>#N/A</v>
      </c>
    </row>
    <row r="135" spans="1:22" x14ac:dyDescent="0.25">
      <c r="A135">
        <v>2023</v>
      </c>
      <c r="B135" s="350">
        <v>28</v>
      </c>
      <c r="C135">
        <f>COUNTIFS('Quote Log'!$B:$B,"&lt;&gt;VOID",'Quote Log'!$B:$B,"&lt;&gt;Requoted",'Quote Log'!$C:$C,"&gt;="&amp;DATE(2023,7,9),'Quote Log'!$C:$C,"&lt;="&amp;DATE(2023,7,15))</f>
        <v>0</v>
      </c>
      <c r="D135" t="e">
        <f t="shared" si="48"/>
        <v>#N/A</v>
      </c>
      <c r="E135">
        <f>COUNTIFS('Quote Log'!$B:$B,"&lt;&gt;VOID",'Quote Log'!$B:$B,"&lt;&gt;Requoted",'Quote Log'!$H:$H,"&gt;="&amp;DATE(2023,7,9),'Quote Log'!$H:$H,"&lt;="&amp;DATE(2023,7,15))</f>
        <v>0</v>
      </c>
      <c r="F135" t="e">
        <f t="shared" si="49"/>
        <v>#N/A</v>
      </c>
      <c r="G135">
        <f>COUNTIFS('Quote Log'!$C:$C,"&gt;="&amp;DATE(2023,7,9),'Quote Log'!$C:$C,"&lt;="&amp;DATE(2023,7,15),'Quote Log'!$B:$B,"=Purchased")</f>
        <v>0</v>
      </c>
      <c r="H135" t="e">
        <f t="shared" si="50"/>
        <v>#N/A</v>
      </c>
      <c r="I135" s="339">
        <f t="shared" si="60"/>
        <v>0</v>
      </c>
      <c r="J135" s="339" t="e">
        <f t="shared" si="51"/>
        <v>#N/A</v>
      </c>
      <c r="K135">
        <f>COUNTIFS('Quote Log'!$C:$C,"&gt;="&amp;DATE(2023,7,9),'Quote Log'!$C:$C,"&lt;="&amp;DATE(2023,7,15),'Quote Log'!$B:$B,"=LOST")</f>
        <v>0</v>
      </c>
      <c r="L135">
        <f>COUNTIFS('Quote Log'!$B:$B,"&lt;&gt;VOID",'Quote Log'!$B:$B,"&lt;&gt;Requoted",'Quote Log'!$C:$C,"&gt;="&amp;DATE(2023,7,9),'Quote Log'!$C:$C,"&lt;="&amp;DATE(2023,7,15),'Quote Log'!$V:$V,"=new")</f>
        <v>0</v>
      </c>
      <c r="M135" s="349">
        <f t="shared" si="61"/>
        <v>0</v>
      </c>
      <c r="N135" s="339" t="e">
        <f t="shared" si="52"/>
        <v>#N/A</v>
      </c>
      <c r="O135" s="351">
        <f>SUMIFS('Quote Log'!$AB:$AB,'Quote Log'!$C:$C,"&gt;="&amp;DATE(2023,7,9),'Quote Log'!$C:$C,"&lt;="&amp;DATE(2023,7,15),'Quote Log'!$B:$B,"=Purchased",'Quote Log'!$AB:$AB,"&lt;&gt;#VALUE!")</f>
        <v>0</v>
      </c>
      <c r="P135" s="351" t="e">
        <f t="shared" si="53"/>
        <v>#N/A</v>
      </c>
      <c r="Q135" s="349" t="e">
        <f t="shared" si="58"/>
        <v>#DIV/0!</v>
      </c>
      <c r="R135" s="349" t="e">
        <f t="shared" si="54"/>
        <v>#N/A</v>
      </c>
      <c r="S135" s="351">
        <f t="shared" si="57"/>
        <v>0</v>
      </c>
      <c r="T135" s="351" t="e">
        <f t="shared" si="55"/>
        <v>#N/A</v>
      </c>
      <c r="U135" s="349" t="e">
        <f t="shared" si="59"/>
        <v>#DIV/0!</v>
      </c>
      <c r="V135" s="349" t="e">
        <f t="shared" si="56"/>
        <v>#N/A</v>
      </c>
    </row>
    <row r="136" spans="1:22" x14ac:dyDescent="0.25">
      <c r="A136">
        <v>2023</v>
      </c>
      <c r="B136" s="350">
        <v>29</v>
      </c>
      <c r="C136">
        <f>COUNTIFS('Quote Log'!$B:$B,"&lt;&gt;VOID",'Quote Log'!$B:$B,"&lt;&gt;Requoted",'Quote Log'!$C:$C,"&gt;="&amp;DATE(2023,7,16),'Quote Log'!$C:$C,"&lt;="&amp;DATE(2023,7,22))</f>
        <v>0</v>
      </c>
      <c r="D136" t="e">
        <f t="shared" si="48"/>
        <v>#N/A</v>
      </c>
      <c r="E136">
        <f>COUNTIFS('Quote Log'!$B:$B,"&lt;&gt;VOID",'Quote Log'!$B:$B,"&lt;&gt;Requoted",'Quote Log'!$H:$H,"&gt;="&amp;DATE(2023,7,16),'Quote Log'!$H:$H,"&lt;="&amp;DATE(2023,7,22))</f>
        <v>0</v>
      </c>
      <c r="F136" t="e">
        <f t="shared" si="49"/>
        <v>#N/A</v>
      </c>
      <c r="G136">
        <f>COUNTIFS('Quote Log'!$C:$C,"&gt;="&amp;DATE(2023,7,16),'Quote Log'!$C:$C,"&lt;="&amp;DATE(2023,7,22),'Quote Log'!$B:$B,"=Purchased")</f>
        <v>0</v>
      </c>
      <c r="H136" t="e">
        <f t="shared" si="50"/>
        <v>#N/A</v>
      </c>
      <c r="I136" s="339">
        <f t="shared" si="60"/>
        <v>0</v>
      </c>
      <c r="J136" s="339" t="e">
        <f t="shared" si="51"/>
        <v>#N/A</v>
      </c>
      <c r="K136">
        <f>COUNTIFS('Quote Log'!$C:$C,"&gt;="&amp;DATE(2023,7,16),'Quote Log'!$C:$C,"&lt;="&amp;DATE(2023,7,22),'Quote Log'!$B:$B,"=LOST")</f>
        <v>0</v>
      </c>
      <c r="L136">
        <f>COUNTIFS('Quote Log'!$B:$B,"&lt;&gt;VOID",'Quote Log'!$B:$B,"&lt;&gt;Requoted",'Quote Log'!$C:$C,"&gt;="&amp;DATE(2023,7,16),'Quote Log'!$C:$C,"&lt;="&amp;DATE(2023,7,22),'Quote Log'!$V:$V,"=new")</f>
        <v>0</v>
      </c>
      <c r="M136" s="349">
        <f t="shared" si="61"/>
        <v>0</v>
      </c>
      <c r="N136" s="339" t="e">
        <f t="shared" si="52"/>
        <v>#N/A</v>
      </c>
      <c r="O136" s="351">
        <f>SUMIFS('Quote Log'!$AB:$AB,'Quote Log'!$C:$C,"&gt;="&amp;DATE(2023,7,16),'Quote Log'!$C:$C,"&lt;="&amp;DATE(2023,7,22),'Quote Log'!$B:$B,"=Purchased",'Quote Log'!$AB:$AB,"&lt;&gt;#VALUE!")</f>
        <v>0</v>
      </c>
      <c r="P136" s="351" t="e">
        <f t="shared" si="53"/>
        <v>#N/A</v>
      </c>
      <c r="Q136" s="349" t="e">
        <f t="shared" si="58"/>
        <v>#DIV/0!</v>
      </c>
      <c r="R136" s="349" t="e">
        <f t="shared" si="54"/>
        <v>#N/A</v>
      </c>
      <c r="S136" s="351">
        <f t="shared" si="57"/>
        <v>0</v>
      </c>
      <c r="T136" s="351" t="e">
        <f t="shared" si="55"/>
        <v>#N/A</v>
      </c>
      <c r="U136" s="349" t="e">
        <f t="shared" si="59"/>
        <v>#DIV/0!</v>
      </c>
      <c r="V136" s="349" t="e">
        <f t="shared" si="56"/>
        <v>#N/A</v>
      </c>
    </row>
    <row r="137" spans="1:22" x14ac:dyDescent="0.25">
      <c r="A137">
        <v>2023</v>
      </c>
      <c r="B137" s="350">
        <v>30</v>
      </c>
      <c r="C137">
        <f>COUNTIFS('Quote Log'!$B:$B,"&lt;&gt;VOID",'Quote Log'!$B:$B,"&lt;&gt;Requoted",'Quote Log'!$C:$C,"&gt;="&amp;DATE(2023,7,23),'Quote Log'!$C:$C,"&lt;="&amp;DATE(2023,7,29))</f>
        <v>0</v>
      </c>
      <c r="D137" t="e">
        <f t="shared" si="48"/>
        <v>#N/A</v>
      </c>
      <c r="E137">
        <f>COUNTIFS('Quote Log'!$B:$B,"&lt;&gt;VOID",'Quote Log'!$B:$B,"&lt;&gt;Requoted",'Quote Log'!$H:$H,"&gt;="&amp;DATE(2023,7,23),'Quote Log'!$H:$H,"&lt;="&amp;DATE(2023,7,29))</f>
        <v>0</v>
      </c>
      <c r="F137" t="e">
        <f t="shared" si="49"/>
        <v>#N/A</v>
      </c>
      <c r="G137">
        <f>COUNTIFS('Quote Log'!$C:$C,"&gt;="&amp;DATE(2023,7,23),'Quote Log'!$C:$C,"&lt;="&amp;DATE(2023,7,29),'Quote Log'!$B:$B,"=Purchased")</f>
        <v>0</v>
      </c>
      <c r="H137" t="e">
        <f t="shared" si="50"/>
        <v>#N/A</v>
      </c>
      <c r="I137" s="339">
        <f t="shared" si="60"/>
        <v>0</v>
      </c>
      <c r="J137" s="339" t="e">
        <f t="shared" si="51"/>
        <v>#N/A</v>
      </c>
      <c r="K137">
        <f>COUNTIFS('Quote Log'!$C:$C,"&gt;="&amp;DATE(2023,7,23),'Quote Log'!$C:$C,"&lt;="&amp;DATE(2023,7,29),'Quote Log'!$B:$B,"=LOST")</f>
        <v>0</v>
      </c>
      <c r="L137">
        <f>COUNTIFS('Quote Log'!$B:$B,"&lt;&gt;VOID",'Quote Log'!$B:$B,"&lt;&gt;Requoted",'Quote Log'!$C:$C,"&gt;="&amp;DATE(2023,7,23),'Quote Log'!$C:$C,"&lt;="&amp;DATE(2023,7,29),'Quote Log'!$V:$V,"=new")</f>
        <v>0</v>
      </c>
      <c r="M137" s="349">
        <f t="shared" si="61"/>
        <v>0</v>
      </c>
      <c r="N137" s="339" t="e">
        <f t="shared" si="52"/>
        <v>#N/A</v>
      </c>
      <c r="O137" s="351">
        <f>SUMIFS('Quote Log'!$AB:$AB,'Quote Log'!$C:$C,"&gt;="&amp;DATE(2023,7,23),'Quote Log'!$C:$C,"&lt;="&amp;DATE(2023,7,29),'Quote Log'!$B:$B,"=Purchased",'Quote Log'!$AB:$AB,"&lt;&gt;#VALUE!")</f>
        <v>0</v>
      </c>
      <c r="P137" s="351" t="e">
        <f t="shared" si="53"/>
        <v>#N/A</v>
      </c>
      <c r="Q137" s="349" t="e">
        <f t="shared" si="58"/>
        <v>#DIV/0!</v>
      </c>
      <c r="R137" s="349" t="e">
        <f t="shared" si="54"/>
        <v>#N/A</v>
      </c>
      <c r="S137" s="351">
        <f t="shared" si="57"/>
        <v>0</v>
      </c>
      <c r="T137" s="351" t="e">
        <f t="shared" si="55"/>
        <v>#N/A</v>
      </c>
      <c r="U137" s="349" t="e">
        <f t="shared" si="59"/>
        <v>#DIV/0!</v>
      </c>
      <c r="V137" s="349" t="e">
        <f t="shared" si="56"/>
        <v>#N/A</v>
      </c>
    </row>
    <row r="138" spans="1:22" x14ac:dyDescent="0.25">
      <c r="A138">
        <v>2023</v>
      </c>
      <c r="B138" s="350">
        <v>31</v>
      </c>
      <c r="C138">
        <f>COUNTIFS('Quote Log'!$B:$B,"&lt;&gt;VOID",'Quote Log'!$B:$B,"&lt;&gt;Requoted",'Quote Log'!$C:$C,"&gt;="&amp;DATE(2023,7,30),'Quote Log'!$C:$C,"&lt;="&amp;DATE(2023,8,5))</f>
        <v>0</v>
      </c>
      <c r="D138" t="e">
        <f t="shared" si="48"/>
        <v>#N/A</v>
      </c>
      <c r="E138">
        <f>COUNTIFS('Quote Log'!$B:$B,"&lt;&gt;VOID",'Quote Log'!$B:$B,"&lt;&gt;Requoted",'Quote Log'!$H:$H,"&gt;="&amp;DATE(2023,7,30),'Quote Log'!$H:$H,"&lt;="&amp;DATE(2023,8,5))</f>
        <v>0</v>
      </c>
      <c r="F138" t="e">
        <f t="shared" si="49"/>
        <v>#N/A</v>
      </c>
      <c r="G138">
        <f>COUNTIFS('Quote Log'!$C:$C,"&gt;="&amp;DATE(2023,7,30),'Quote Log'!$C:$C,"&lt;="&amp;DATE(2023,8,5),'Quote Log'!$B:$B,"=Purchased")</f>
        <v>0</v>
      </c>
      <c r="H138" t="e">
        <f t="shared" si="50"/>
        <v>#N/A</v>
      </c>
      <c r="I138" s="339">
        <f t="shared" si="60"/>
        <v>0</v>
      </c>
      <c r="J138" s="339" t="e">
        <f t="shared" si="51"/>
        <v>#N/A</v>
      </c>
      <c r="K138">
        <f>COUNTIFS('Quote Log'!$C:$C,"&gt;="&amp;DATE(2023,7,30),'Quote Log'!$C:$C,"&lt;="&amp;DATE(2023,8,5),'Quote Log'!$B:$B,"=LOST")</f>
        <v>0</v>
      </c>
      <c r="L138">
        <f>COUNTIFS('Quote Log'!$B:$B,"&lt;&gt;VOID",'Quote Log'!$B:$B,"&lt;&gt;Requoted",'Quote Log'!$C:$C,"&gt;="&amp;DATE(2023,7,30),'Quote Log'!$C:$C,"&lt;="&amp;DATE(2023,8,5),'Quote Log'!$V:$V,"=new")</f>
        <v>0</v>
      </c>
      <c r="M138" s="349">
        <f t="shared" si="61"/>
        <v>0</v>
      </c>
      <c r="N138" s="339" t="e">
        <f t="shared" si="52"/>
        <v>#N/A</v>
      </c>
      <c r="O138" s="351">
        <f>SUMIFS('Quote Log'!$AB:$AB,'Quote Log'!$C:$C,"&gt;="&amp;DATE(2023,7,30),'Quote Log'!$C:$C,"&lt;="&amp;DATE(2023,8,5),'Quote Log'!$B:$B,"=Purchased",'Quote Log'!$AB:$AB,"&lt;&gt;#VALUE!")</f>
        <v>0</v>
      </c>
      <c r="P138" s="351" t="e">
        <f t="shared" si="53"/>
        <v>#N/A</v>
      </c>
      <c r="Q138" s="349" t="e">
        <f t="shared" si="58"/>
        <v>#DIV/0!</v>
      </c>
      <c r="R138" s="349" t="e">
        <f t="shared" si="54"/>
        <v>#N/A</v>
      </c>
      <c r="S138" s="351">
        <f t="shared" si="57"/>
        <v>0</v>
      </c>
      <c r="T138" s="351" t="e">
        <f t="shared" si="55"/>
        <v>#N/A</v>
      </c>
      <c r="U138" s="349" t="e">
        <f t="shared" si="59"/>
        <v>#DIV/0!</v>
      </c>
      <c r="V138" s="349" t="e">
        <f t="shared" si="56"/>
        <v>#N/A</v>
      </c>
    </row>
    <row r="139" spans="1:22" x14ac:dyDescent="0.25">
      <c r="A139">
        <v>2023</v>
      </c>
      <c r="B139" s="350">
        <v>32</v>
      </c>
      <c r="C139">
        <f>COUNTIFS('Quote Log'!$B:$B,"&lt;&gt;VOID",'Quote Log'!$B:$B,"&lt;&gt;Requoted",'Quote Log'!$C:$C,"&gt;="&amp;DATE(2023,8,6),'Quote Log'!$C:$C,"&lt;="&amp;DATE(2023,8,12))</f>
        <v>0</v>
      </c>
      <c r="D139" t="e">
        <f t="shared" si="48"/>
        <v>#N/A</v>
      </c>
      <c r="E139">
        <f>COUNTIFS('Quote Log'!$B:$B,"&lt;&gt;VOID",'Quote Log'!$B:$B,"&lt;&gt;Requoted",'Quote Log'!$H:$H,"&gt;="&amp;DATE(2023,8,6),'Quote Log'!$H:$H,"&lt;="&amp;DATE(2023,8,12))</f>
        <v>0</v>
      </c>
      <c r="F139" t="e">
        <f t="shared" si="49"/>
        <v>#N/A</v>
      </c>
      <c r="G139">
        <f>COUNTIFS('Quote Log'!$C:$C,"&gt;="&amp;DATE(2023,8,6),'Quote Log'!$C:$C,"&lt;="&amp;DATE(2023,8,12),'Quote Log'!$B:$B,"=Purchased")</f>
        <v>0</v>
      </c>
      <c r="H139" t="e">
        <f t="shared" si="50"/>
        <v>#N/A</v>
      </c>
      <c r="I139" s="339">
        <f t="shared" si="60"/>
        <v>0</v>
      </c>
      <c r="J139" s="339" t="e">
        <f t="shared" si="51"/>
        <v>#N/A</v>
      </c>
      <c r="K139">
        <f>COUNTIFS('Quote Log'!$C:$C,"&gt;="&amp;DATE(2023,8,6),'Quote Log'!$C:$C,"&lt;="&amp;DATE(2023,8,12),'Quote Log'!$B:$B,"=LOST")</f>
        <v>0</v>
      </c>
      <c r="L139">
        <f>COUNTIFS('Quote Log'!$B:$B,"&lt;&gt;VOID",'Quote Log'!$B:$B,"&lt;&gt;Requoted",'Quote Log'!$C:$C,"&gt;="&amp;DATE(2023,8,6),'Quote Log'!$C:$C,"&lt;="&amp;DATE(2023,8,12),'Quote Log'!$V:$V,"=new")</f>
        <v>0</v>
      </c>
      <c r="M139" s="349">
        <f t="shared" si="61"/>
        <v>0</v>
      </c>
      <c r="N139" s="339" t="e">
        <f t="shared" si="52"/>
        <v>#N/A</v>
      </c>
      <c r="O139" s="351">
        <f>SUMIFS('Quote Log'!$AB:$AB,'Quote Log'!$C:$C,"&gt;="&amp;DATE(2023,8,6),'Quote Log'!$C:$C,"&lt;="&amp;DATE(2023,8,12),'Quote Log'!$B:$B,"=Purchased",'Quote Log'!$AB:$AB,"&lt;&gt;#VALUE!")</f>
        <v>0</v>
      </c>
      <c r="P139" s="351" t="e">
        <f t="shared" si="53"/>
        <v>#N/A</v>
      </c>
      <c r="Q139" s="349" t="e">
        <f t="shared" si="58"/>
        <v>#DIV/0!</v>
      </c>
      <c r="R139" s="349" t="e">
        <f t="shared" si="54"/>
        <v>#N/A</v>
      </c>
      <c r="S139" s="351">
        <f t="shared" si="57"/>
        <v>0</v>
      </c>
      <c r="T139" s="351" t="e">
        <f t="shared" si="55"/>
        <v>#N/A</v>
      </c>
      <c r="U139" s="349" t="e">
        <f t="shared" si="59"/>
        <v>#DIV/0!</v>
      </c>
      <c r="V139" s="349" t="e">
        <f t="shared" si="56"/>
        <v>#N/A</v>
      </c>
    </row>
    <row r="140" spans="1:22" x14ac:dyDescent="0.25">
      <c r="A140">
        <v>2023</v>
      </c>
      <c r="B140" s="350">
        <v>33</v>
      </c>
      <c r="C140">
        <f>COUNTIFS('Quote Log'!$B:$B,"&lt;&gt;VOID",'Quote Log'!$B:$B,"&lt;&gt;Requoted",'Quote Log'!$C:$C,"&gt;="&amp;DATE(2023,8,13),'Quote Log'!$C:$C,"&lt;="&amp;DATE(2023,8,19))</f>
        <v>0</v>
      </c>
      <c r="D140" t="e">
        <f t="shared" ref="D140:D160" si="62">IF($Z$4,C140,NA())</f>
        <v>#N/A</v>
      </c>
      <c r="E140">
        <f>COUNTIFS('Quote Log'!$B:$B,"&lt;&gt;VOID",'Quote Log'!$B:$B,"&lt;&gt;Requoted",'Quote Log'!$H:$H,"&gt;="&amp;DATE(2023,8,13),'Quote Log'!$H:$H,"&lt;="&amp;DATE(2023,8,19))</f>
        <v>0</v>
      </c>
      <c r="F140" t="e">
        <f t="shared" ref="F140:F160" si="63">IF($Z$4,E140,NA())</f>
        <v>#N/A</v>
      </c>
      <c r="G140">
        <f>COUNTIFS('Quote Log'!$C:$C,"&gt;="&amp;DATE(2023,8,13),'Quote Log'!$C:$C,"&lt;="&amp;DATE(2023,8,19),'Quote Log'!$B:$B,"=Purchased")</f>
        <v>0</v>
      </c>
      <c r="H140" t="e">
        <f t="shared" ref="H140:H160" si="64">IF(Z$4,G140,NA())</f>
        <v>#N/A</v>
      </c>
      <c r="I140" s="339">
        <f t="shared" si="60"/>
        <v>0</v>
      </c>
      <c r="J140" s="339" t="e">
        <f t="shared" ref="J140:J160" si="65">IF($Z$4,I140,NA())</f>
        <v>#N/A</v>
      </c>
      <c r="K140">
        <f>COUNTIFS('Quote Log'!$C:$C,"&gt;="&amp;DATE(2023,8,13),'Quote Log'!$C:$C,"&lt;="&amp;DATE(2023,8,19),'Quote Log'!$B:$B,"=LOST")</f>
        <v>0</v>
      </c>
      <c r="L140">
        <f>COUNTIFS('Quote Log'!$B:$B,"&lt;&gt;VOID",'Quote Log'!$B:$B,"&lt;&gt;Requoted",'Quote Log'!$C:$C,"&gt;="&amp;DATE(2023,8,13),'Quote Log'!$C:$C,"&lt;="&amp;DATE(2023,8,19),'Quote Log'!$V:$V,"=new")</f>
        <v>0</v>
      </c>
      <c r="M140" s="349">
        <f t="shared" si="61"/>
        <v>0</v>
      </c>
      <c r="N140" s="339" t="e">
        <f t="shared" ref="N140:N160" si="66">IF($Z$4,M140,NA())</f>
        <v>#N/A</v>
      </c>
      <c r="O140" s="351">
        <f>SUMIFS('Quote Log'!$AB:$AB,'Quote Log'!$C:$C,"&gt;="&amp;DATE(2023,8,13),'Quote Log'!$C:$C,"&lt;="&amp;DATE(2023,8,19),'Quote Log'!$B:$B,"=Purchased",'Quote Log'!$AB:$AB,"&lt;&gt;#VALUE!")</f>
        <v>0</v>
      </c>
      <c r="P140" s="351" t="e">
        <f t="shared" ref="P140:P160" si="67">IF($Z$4,O140,NA())</f>
        <v>#N/A</v>
      </c>
      <c r="Q140" s="349" t="e">
        <f t="shared" si="58"/>
        <v>#DIV/0!</v>
      </c>
      <c r="R140" s="349" t="e">
        <f t="shared" ref="R140:R160" si="68">IF($Z$4,Q140,NA())</f>
        <v>#N/A</v>
      </c>
      <c r="S140" s="351">
        <f t="shared" si="57"/>
        <v>0</v>
      </c>
      <c r="T140" s="351" t="e">
        <f t="shared" ref="T140:T160" si="69">IF($Z$4,S140,NA())</f>
        <v>#N/A</v>
      </c>
      <c r="U140" s="349" t="e">
        <f t="shared" si="59"/>
        <v>#DIV/0!</v>
      </c>
      <c r="V140" s="349" t="e">
        <f t="shared" ref="V140:V160" si="70">IF($Z$4,U140,NA())</f>
        <v>#N/A</v>
      </c>
    </row>
    <row r="141" spans="1:22" x14ac:dyDescent="0.25">
      <c r="A141">
        <v>2023</v>
      </c>
      <c r="B141" s="350">
        <v>34</v>
      </c>
      <c r="C141">
        <f>COUNTIFS('Quote Log'!$B:$B,"&lt;&gt;VOID",'Quote Log'!$B:$B,"&lt;&gt;Requoted",'Quote Log'!$C:$C,"&gt;="&amp;DATE(2023,8,20),'Quote Log'!$C:$C,"&lt;="&amp;DATE(2023,8,26))</f>
        <v>0</v>
      </c>
      <c r="D141" t="e">
        <f t="shared" si="62"/>
        <v>#N/A</v>
      </c>
      <c r="E141">
        <f>COUNTIFS('Quote Log'!$B:$B,"&lt;&gt;VOID",'Quote Log'!$B:$B,"&lt;&gt;Requoted",'Quote Log'!$H:$H,"&gt;="&amp;DATE(2023,8,20),'Quote Log'!$H:$H,"&lt;="&amp;DATE(2023,8,26))</f>
        <v>0</v>
      </c>
      <c r="F141" t="e">
        <f t="shared" si="63"/>
        <v>#N/A</v>
      </c>
      <c r="G141">
        <f>COUNTIFS('Quote Log'!$C:$C,"&gt;="&amp;DATE(2023,8,20),'Quote Log'!$C:$C,"&lt;="&amp;DATE(2023,8,26),'Quote Log'!$B:$B,"=Purchased")</f>
        <v>0</v>
      </c>
      <c r="H141" t="e">
        <f t="shared" si="64"/>
        <v>#N/A</v>
      </c>
      <c r="I141" s="339">
        <f t="shared" si="60"/>
        <v>0</v>
      </c>
      <c r="J141" s="339" t="e">
        <f t="shared" si="65"/>
        <v>#N/A</v>
      </c>
      <c r="K141">
        <f>COUNTIFS('Quote Log'!$C:$C,"&gt;="&amp;DATE(2023,8,20),'Quote Log'!$C:$C,"&lt;="&amp;DATE(2023,8,26),'Quote Log'!$B:$B,"=LOST")</f>
        <v>0</v>
      </c>
      <c r="L141">
        <f>COUNTIFS('Quote Log'!$B:$B,"&lt;&gt;VOID",'Quote Log'!$B:$B,"&lt;&gt;Requoted",'Quote Log'!$C:$C,"&gt;="&amp;DATE(2023,8,20),'Quote Log'!$C:$C,"&lt;="&amp;DATE(2023,8,26),'Quote Log'!$V:$V,"=new")</f>
        <v>0</v>
      </c>
      <c r="M141" s="349">
        <f t="shared" si="61"/>
        <v>0</v>
      </c>
      <c r="N141" s="339" t="e">
        <f t="shared" si="66"/>
        <v>#N/A</v>
      </c>
      <c r="O141" s="351">
        <f>SUMIFS('Quote Log'!$AB:$AB,'Quote Log'!$C:$C,"&gt;="&amp;DATE(2023,8,20),'Quote Log'!$C:$C,"&lt;="&amp;DATE(2023,8,26),'Quote Log'!$B:$B,"=Purchased",'Quote Log'!$AB:$AB,"&lt;&gt;#VALUE!")</f>
        <v>0</v>
      </c>
      <c r="P141" s="351" t="e">
        <f t="shared" si="67"/>
        <v>#N/A</v>
      </c>
      <c r="Q141" s="349" t="e">
        <f t="shared" si="58"/>
        <v>#DIV/0!</v>
      </c>
      <c r="R141" s="349" t="e">
        <f t="shared" si="68"/>
        <v>#N/A</v>
      </c>
      <c r="S141" s="351">
        <f t="shared" ref="S141:S160" si="71">O141+S140</f>
        <v>0</v>
      </c>
      <c r="T141" s="351" t="e">
        <f t="shared" si="69"/>
        <v>#N/A</v>
      </c>
      <c r="U141" s="349" t="e">
        <f t="shared" si="59"/>
        <v>#DIV/0!</v>
      </c>
      <c r="V141" s="349" t="e">
        <f t="shared" si="70"/>
        <v>#N/A</v>
      </c>
    </row>
    <row r="142" spans="1:22" x14ac:dyDescent="0.25">
      <c r="A142">
        <v>2023</v>
      </c>
      <c r="B142" s="350">
        <v>35</v>
      </c>
      <c r="C142">
        <f>COUNTIFS('Quote Log'!$B:$B,"&lt;&gt;VOID",'Quote Log'!$B:$B,"&lt;&gt;Requoted",'Quote Log'!$C:$C,"&gt;="&amp;DATE(2023,8,27),'Quote Log'!$C:$C,"&lt;="&amp;DATE(2023,9,2))</f>
        <v>0</v>
      </c>
      <c r="D142" t="e">
        <f t="shared" si="62"/>
        <v>#N/A</v>
      </c>
      <c r="E142">
        <f>COUNTIFS('Quote Log'!$B:$B,"&lt;&gt;VOID",'Quote Log'!$B:$B,"&lt;&gt;Requoted",'Quote Log'!$H:$H,"&gt;="&amp;DATE(2023,8,27),'Quote Log'!$H:$H,"&lt;="&amp;DATE(2023,9,2))</f>
        <v>0</v>
      </c>
      <c r="F142" t="e">
        <f t="shared" si="63"/>
        <v>#N/A</v>
      </c>
      <c r="G142">
        <f>COUNTIFS('Quote Log'!$C:$C,"&gt;="&amp;DATE(2023,8,27),'Quote Log'!$C:$C,"&lt;="&amp;DATE(2023,9,2),'Quote Log'!$B:$B,"=Purchased")</f>
        <v>0</v>
      </c>
      <c r="H142" t="e">
        <f t="shared" si="64"/>
        <v>#N/A</v>
      </c>
      <c r="I142" s="339">
        <f t="shared" si="60"/>
        <v>0</v>
      </c>
      <c r="J142" s="339" t="e">
        <f t="shared" si="65"/>
        <v>#N/A</v>
      </c>
      <c r="K142">
        <f>COUNTIFS('Quote Log'!$C:$C,"&gt;="&amp;DATE(2023,8,27),'Quote Log'!$C:$C,"&lt;="&amp;DATE(2023,9,2),'Quote Log'!$B:$B,"=LOST")</f>
        <v>0</v>
      </c>
      <c r="L142">
        <f>COUNTIFS('Quote Log'!$B:$B,"&lt;&gt;VOID",'Quote Log'!$B:$B,"&lt;&gt;Requoted",'Quote Log'!$C:$C,"&gt;="&amp;DATE(2023,8,27),'Quote Log'!$C:$C,"&lt;="&amp;DATE(2023,9,2),'Quote Log'!$V:$V,"=new")</f>
        <v>0</v>
      </c>
      <c r="M142" s="349">
        <f t="shared" si="61"/>
        <v>0</v>
      </c>
      <c r="N142" s="339" t="e">
        <f t="shared" si="66"/>
        <v>#N/A</v>
      </c>
      <c r="O142" s="351">
        <f>SUMIFS('Quote Log'!$AB:$AB,'Quote Log'!$C:$C,"&gt;="&amp;DATE(2023,8,27),'Quote Log'!$C:$C,"&lt;="&amp;DATE(2023,9,2),'Quote Log'!$B:$B,"=Purchased",'Quote Log'!$AB:$AB,"&lt;&gt;#VALUE!")</f>
        <v>0</v>
      </c>
      <c r="P142" s="351" t="e">
        <f t="shared" si="67"/>
        <v>#N/A</v>
      </c>
      <c r="Q142" s="349" t="e">
        <f t="shared" si="58"/>
        <v>#DIV/0!</v>
      </c>
      <c r="R142" s="349" t="e">
        <f t="shared" si="68"/>
        <v>#N/A</v>
      </c>
      <c r="S142" s="351">
        <f t="shared" si="71"/>
        <v>0</v>
      </c>
      <c r="T142" s="351" t="e">
        <f t="shared" si="69"/>
        <v>#N/A</v>
      </c>
      <c r="U142" s="349" t="e">
        <f t="shared" si="59"/>
        <v>#DIV/0!</v>
      </c>
      <c r="V142" s="349" t="e">
        <f t="shared" si="70"/>
        <v>#N/A</v>
      </c>
    </row>
    <row r="143" spans="1:22" x14ac:dyDescent="0.25">
      <c r="A143">
        <v>2023</v>
      </c>
      <c r="B143" s="350">
        <v>36</v>
      </c>
      <c r="C143">
        <f>COUNTIFS('Quote Log'!$B:$B,"&lt;&gt;VOID",'Quote Log'!$B:$B,"&lt;&gt;Requoted",'Quote Log'!$C:$C,"&gt;="&amp;DATE(2023,9,3),'Quote Log'!$C:$C,"&lt;="&amp;DATE(2023,9,9))</f>
        <v>0</v>
      </c>
      <c r="D143" t="e">
        <f t="shared" si="62"/>
        <v>#N/A</v>
      </c>
      <c r="E143">
        <f>COUNTIFS('Quote Log'!$B:$B,"&lt;&gt;VOID",'Quote Log'!$B:$B,"&lt;&gt;Requoted",'Quote Log'!$H:$H,"&gt;="&amp;DATE(2023,9,3),'Quote Log'!$H:$H,"&lt;="&amp;DATE(2023,9,9))</f>
        <v>0</v>
      </c>
      <c r="F143" t="e">
        <f t="shared" si="63"/>
        <v>#N/A</v>
      </c>
      <c r="G143">
        <f>COUNTIFS('Quote Log'!$C:$C,"&gt;="&amp;DATE(2023,9,3),'Quote Log'!$C:$C,"&lt;="&amp;DATE(2023,9,9),'Quote Log'!$B:$B,"=Purchased")</f>
        <v>0</v>
      </c>
      <c r="H143" t="e">
        <f t="shared" si="64"/>
        <v>#N/A</v>
      </c>
      <c r="I143" s="339">
        <f t="shared" si="60"/>
        <v>0</v>
      </c>
      <c r="J143" s="339" t="e">
        <f t="shared" si="65"/>
        <v>#N/A</v>
      </c>
      <c r="K143">
        <f>COUNTIFS('Quote Log'!$C:$C,"&gt;="&amp;DATE(2023,9,3),'Quote Log'!$C:$C,"&lt;="&amp;DATE(2023,9,9),'Quote Log'!$B:$B,"=LOST")</f>
        <v>0</v>
      </c>
      <c r="L143">
        <f>COUNTIFS('Quote Log'!$B:$B,"&lt;&gt;VOID",'Quote Log'!$B:$B,"&lt;&gt;Requoted",'Quote Log'!$C:$C,"&gt;="&amp;DATE(2023,9,3),'Quote Log'!$C:$C,"&lt;="&amp;DATE(2023,9,9),'Quote Log'!$V:$V,"=new")</f>
        <v>0</v>
      </c>
      <c r="M143" s="349">
        <f t="shared" si="61"/>
        <v>0</v>
      </c>
      <c r="N143" s="339" t="e">
        <f t="shared" si="66"/>
        <v>#N/A</v>
      </c>
      <c r="O143" s="351">
        <f>SUMIFS('Quote Log'!$AB:$AB,'Quote Log'!$C:$C,"&gt;="&amp;DATE(2023,9,3),'Quote Log'!$C:$C,"&lt;="&amp;DATE(2023,9,9),'Quote Log'!$B:$B,"=Purchased",'Quote Log'!$AB:$AB,"&lt;&gt;#VALUE!")</f>
        <v>0</v>
      </c>
      <c r="P143" s="351" t="e">
        <f t="shared" si="67"/>
        <v>#N/A</v>
      </c>
      <c r="Q143" s="349" t="e">
        <f t="shared" si="58"/>
        <v>#DIV/0!</v>
      </c>
      <c r="R143" s="349" t="e">
        <f t="shared" si="68"/>
        <v>#N/A</v>
      </c>
      <c r="S143" s="351">
        <f t="shared" si="71"/>
        <v>0</v>
      </c>
      <c r="T143" s="351" t="e">
        <f t="shared" si="69"/>
        <v>#N/A</v>
      </c>
      <c r="U143" s="349" t="e">
        <f t="shared" si="59"/>
        <v>#DIV/0!</v>
      </c>
      <c r="V143" s="349" t="e">
        <f t="shared" si="70"/>
        <v>#N/A</v>
      </c>
    </row>
    <row r="144" spans="1:22" x14ac:dyDescent="0.25">
      <c r="A144">
        <v>2023</v>
      </c>
      <c r="B144" s="350">
        <v>37</v>
      </c>
      <c r="C144">
        <f>COUNTIFS('Quote Log'!$B:$B,"&lt;&gt;VOID",'Quote Log'!$B:$B,"&lt;&gt;Requoted",'Quote Log'!$C:$C,"&gt;="&amp;DATE(2023,9,10),'Quote Log'!$C:$C,"&lt;="&amp;DATE(2023,9,16))</f>
        <v>0</v>
      </c>
      <c r="D144" t="e">
        <f t="shared" si="62"/>
        <v>#N/A</v>
      </c>
      <c r="E144">
        <f>COUNTIFS('Quote Log'!$B:$B,"&lt;&gt;VOID",'Quote Log'!$B:$B,"&lt;&gt;Requoted",'Quote Log'!$H:$H,"&gt;="&amp;DATE(2023,9,10),'Quote Log'!$H:$H,"&lt;="&amp;DATE(2023,9,16))</f>
        <v>0</v>
      </c>
      <c r="F144" t="e">
        <f t="shared" si="63"/>
        <v>#N/A</v>
      </c>
      <c r="G144">
        <f>COUNTIFS('Quote Log'!$C:$C,"&gt;="&amp;DATE(2023,9,10),'Quote Log'!$C:$C,"&lt;="&amp;DATE(2023,9,16),'Quote Log'!$B:$B,"=Purchased")</f>
        <v>0</v>
      </c>
      <c r="H144" t="e">
        <f t="shared" si="64"/>
        <v>#N/A</v>
      </c>
      <c r="I144" s="339">
        <f t="shared" si="60"/>
        <v>0</v>
      </c>
      <c r="J144" s="339" t="e">
        <f t="shared" si="65"/>
        <v>#N/A</v>
      </c>
      <c r="K144">
        <f>COUNTIFS('Quote Log'!$C:$C,"&gt;="&amp;DATE(2023,9,10),'Quote Log'!$C:$C,"&lt;="&amp;DATE(2023,9,16),'Quote Log'!$B:$B,"=LOST")</f>
        <v>0</v>
      </c>
      <c r="L144">
        <f>COUNTIFS('Quote Log'!$B:$B,"&lt;&gt;VOID",'Quote Log'!$B:$B,"&lt;&gt;Requoted",'Quote Log'!$C:$C,"&gt;="&amp;DATE(2023,9,10),'Quote Log'!$C:$C,"&lt;="&amp;DATE(2023,9,16),'Quote Log'!$V:$V,"=new")</f>
        <v>0</v>
      </c>
      <c r="M144" s="349">
        <f t="shared" si="61"/>
        <v>0</v>
      </c>
      <c r="N144" s="339" t="e">
        <f t="shared" si="66"/>
        <v>#N/A</v>
      </c>
      <c r="O144" s="351">
        <f>SUMIFS('Quote Log'!$AB:$AB,'Quote Log'!$C:$C,"&gt;="&amp;DATE(2023,9,10),'Quote Log'!$C:$C,"&lt;="&amp;DATE(2023,9,16),'Quote Log'!$B:$B,"=Purchased",'Quote Log'!$AB:$AB,"&lt;&gt;#VALUE!")</f>
        <v>0</v>
      </c>
      <c r="P144" s="351" t="e">
        <f t="shared" si="67"/>
        <v>#N/A</v>
      </c>
      <c r="Q144" s="349" t="e">
        <f t="shared" si="58"/>
        <v>#DIV/0!</v>
      </c>
      <c r="R144" s="349" t="e">
        <f t="shared" si="68"/>
        <v>#N/A</v>
      </c>
      <c r="S144" s="351">
        <f t="shared" si="71"/>
        <v>0</v>
      </c>
      <c r="T144" s="351" t="e">
        <f t="shared" si="69"/>
        <v>#N/A</v>
      </c>
      <c r="U144" s="349" t="e">
        <f t="shared" si="59"/>
        <v>#DIV/0!</v>
      </c>
      <c r="V144" s="349" t="e">
        <f t="shared" si="70"/>
        <v>#N/A</v>
      </c>
    </row>
    <row r="145" spans="1:22" x14ac:dyDescent="0.25">
      <c r="A145">
        <v>2023</v>
      </c>
      <c r="B145" s="350">
        <v>38</v>
      </c>
      <c r="C145">
        <f>COUNTIFS('Quote Log'!$B:$B,"&lt;&gt;VOID",'Quote Log'!$B:$B,"&lt;&gt;Requoted",'Quote Log'!$C:$C,"&gt;="&amp;DATE(2023,9,17),'Quote Log'!$C:$C,"&lt;="&amp;DATE(2023,9,23))</f>
        <v>0</v>
      </c>
      <c r="D145" t="e">
        <f t="shared" si="62"/>
        <v>#N/A</v>
      </c>
      <c r="E145">
        <f>COUNTIFS('Quote Log'!$B:$B,"&lt;&gt;VOID",'Quote Log'!$B:$B,"&lt;&gt;Requoted",'Quote Log'!$H:$H,"&gt;="&amp;DATE(2023,9,17),'Quote Log'!$H:$H,"&lt;="&amp;DATE(2023,9,23))</f>
        <v>0</v>
      </c>
      <c r="F145" t="e">
        <f t="shared" si="63"/>
        <v>#N/A</v>
      </c>
      <c r="G145">
        <f>COUNTIFS('Quote Log'!$C:$C,"&gt;="&amp;DATE(2023,9,17),'Quote Log'!$C:$C,"&lt;="&amp;DATE(2023,9,23),'Quote Log'!$B:$B,"=Purchased")</f>
        <v>0</v>
      </c>
      <c r="H145" t="e">
        <f t="shared" si="64"/>
        <v>#N/A</v>
      </c>
      <c r="I145" s="339">
        <f t="shared" si="60"/>
        <v>0</v>
      </c>
      <c r="J145" s="339" t="e">
        <f t="shared" si="65"/>
        <v>#N/A</v>
      </c>
      <c r="K145">
        <f>COUNTIFS('Quote Log'!$C:$C,"&gt;="&amp;DATE(2023,9,17),'Quote Log'!$C:$C,"&lt;="&amp;DATE(2023,9,23),'Quote Log'!$B:$B,"=LOST")</f>
        <v>0</v>
      </c>
      <c r="L145">
        <f>COUNTIFS('Quote Log'!$B:$B,"&lt;&gt;VOID",'Quote Log'!$B:$B,"&lt;&gt;Requoted",'Quote Log'!$C:$C,"&gt;="&amp;DATE(2023,9,17),'Quote Log'!$C:$C,"&lt;="&amp;DATE(2023,9,23),'Quote Log'!$V:$V,"=new")</f>
        <v>0</v>
      </c>
      <c r="M145" s="349">
        <f t="shared" si="61"/>
        <v>0</v>
      </c>
      <c r="N145" s="339" t="e">
        <f t="shared" si="66"/>
        <v>#N/A</v>
      </c>
      <c r="O145" s="351">
        <f>SUMIFS('Quote Log'!$AB:$AB,'Quote Log'!$C:$C,"&gt;="&amp;DATE(2023,9,17),'Quote Log'!$C:$C,"&lt;="&amp;DATE(2023,9,23),'Quote Log'!$B:$B,"=Purchased",'Quote Log'!$AB:$AB,"&lt;&gt;#VALUE!")</f>
        <v>0</v>
      </c>
      <c r="P145" s="351" t="e">
        <f t="shared" si="67"/>
        <v>#N/A</v>
      </c>
      <c r="Q145" s="349" t="e">
        <f t="shared" si="58"/>
        <v>#DIV/0!</v>
      </c>
      <c r="R145" s="349" t="e">
        <f t="shared" si="68"/>
        <v>#N/A</v>
      </c>
      <c r="S145" s="351">
        <f t="shared" si="71"/>
        <v>0</v>
      </c>
      <c r="T145" s="351" t="e">
        <f t="shared" si="69"/>
        <v>#N/A</v>
      </c>
      <c r="U145" s="349" t="e">
        <f t="shared" si="59"/>
        <v>#DIV/0!</v>
      </c>
      <c r="V145" s="349" t="e">
        <f t="shared" si="70"/>
        <v>#N/A</v>
      </c>
    </row>
    <row r="146" spans="1:22" x14ac:dyDescent="0.25">
      <c r="A146">
        <v>2023</v>
      </c>
      <c r="B146" s="350">
        <v>39</v>
      </c>
      <c r="C146">
        <f>COUNTIFS('Quote Log'!$B:$B,"&lt;&gt;VOID",'Quote Log'!$B:$B,"&lt;&gt;Requoted",'Quote Log'!$C:$C,"&gt;="&amp;DATE(2023,9,24),'Quote Log'!$C:$C,"&lt;="&amp;DATE(2023,9,30))</f>
        <v>0</v>
      </c>
      <c r="D146" t="e">
        <f t="shared" si="62"/>
        <v>#N/A</v>
      </c>
      <c r="E146">
        <f>COUNTIFS('Quote Log'!$B:$B,"&lt;&gt;VOID",'Quote Log'!$B:$B,"&lt;&gt;Requoted",'Quote Log'!$H:$H,"&gt;="&amp;DATE(2023,9,24),'Quote Log'!$H:$H,"&lt;="&amp;DATE(2023,9,30))</f>
        <v>0</v>
      </c>
      <c r="F146" t="e">
        <f t="shared" si="63"/>
        <v>#N/A</v>
      </c>
      <c r="G146">
        <f>COUNTIFS('Quote Log'!$C:$C,"&gt;="&amp;DATE(2023,9,24),'Quote Log'!$C:$C,"&lt;="&amp;DATE(2023,9,30),'Quote Log'!$B:$B,"=Purchased")</f>
        <v>0</v>
      </c>
      <c r="H146" t="e">
        <f t="shared" si="64"/>
        <v>#N/A</v>
      </c>
      <c r="I146" s="339">
        <f t="shared" si="60"/>
        <v>0</v>
      </c>
      <c r="J146" s="339" t="e">
        <f t="shared" si="65"/>
        <v>#N/A</v>
      </c>
      <c r="K146">
        <f>COUNTIFS('Quote Log'!$C:$C,"&gt;="&amp;DATE(2023,9,24),'Quote Log'!$C:$C,"&lt;="&amp;DATE(2023,9,30),'Quote Log'!$B:$B,"=LOST")</f>
        <v>0</v>
      </c>
      <c r="L146">
        <f>COUNTIFS('Quote Log'!$B:$B,"&lt;&gt;VOID",'Quote Log'!$B:$B,"&lt;&gt;Requoted",'Quote Log'!$C:$C,"&gt;="&amp;DATE(2023,9,24),'Quote Log'!$C:$C,"&lt;="&amp;DATE(2023,9,30),'Quote Log'!$V:$V,"=new")</f>
        <v>0</v>
      </c>
      <c r="M146" s="349">
        <f t="shared" si="61"/>
        <v>0</v>
      </c>
      <c r="N146" s="339" t="e">
        <f t="shared" si="66"/>
        <v>#N/A</v>
      </c>
      <c r="O146" s="351">
        <f>SUMIFS('Quote Log'!$AB:$AB,'Quote Log'!$C:$C,"&gt;="&amp;DATE(2023,9,24),'Quote Log'!$C:$C,"&lt;="&amp;DATE(2023,9,30),'Quote Log'!$B:$B,"=Purchased",'Quote Log'!$AB:$AB,"&lt;&gt;#VALUE!")</f>
        <v>0</v>
      </c>
      <c r="P146" s="351" t="e">
        <f t="shared" si="67"/>
        <v>#N/A</v>
      </c>
      <c r="Q146" s="349" t="e">
        <f t="shared" si="58"/>
        <v>#DIV/0!</v>
      </c>
      <c r="R146" s="349" t="e">
        <f t="shared" si="68"/>
        <v>#N/A</v>
      </c>
      <c r="S146" s="351">
        <f t="shared" si="71"/>
        <v>0</v>
      </c>
      <c r="T146" s="351" t="e">
        <f t="shared" si="69"/>
        <v>#N/A</v>
      </c>
      <c r="U146" s="349" t="e">
        <f t="shared" si="59"/>
        <v>#DIV/0!</v>
      </c>
      <c r="V146" s="349" t="e">
        <f t="shared" si="70"/>
        <v>#N/A</v>
      </c>
    </row>
    <row r="147" spans="1:22" x14ac:dyDescent="0.25">
      <c r="A147">
        <v>2023</v>
      </c>
      <c r="B147" s="350">
        <v>40</v>
      </c>
      <c r="C147">
        <f>COUNTIFS('Quote Log'!$B:$B,"&lt;&gt;VOID",'Quote Log'!$B:$B,"&lt;&gt;Requoted",'Quote Log'!$C:$C,"&gt;="&amp;DATE(2023,10,1),'Quote Log'!$C:$C,"&lt;="&amp;DATE(2023,10,7))</f>
        <v>0</v>
      </c>
      <c r="D147" t="e">
        <f t="shared" si="62"/>
        <v>#N/A</v>
      </c>
      <c r="E147">
        <f>COUNTIFS('Quote Log'!$B:$B,"&lt;&gt;VOID",'Quote Log'!$B:$B,"&lt;&gt;Requoted",'Quote Log'!$H:$H,"&gt;="&amp;DATE(2023,10,1),'Quote Log'!$H:$H,"&lt;="&amp;DATE(2023,10,7))</f>
        <v>0</v>
      </c>
      <c r="F147" t="e">
        <f t="shared" si="63"/>
        <v>#N/A</v>
      </c>
      <c r="G147">
        <f>COUNTIFS('Quote Log'!$C:$C,"&gt;="&amp;DATE(2023,10,1),'Quote Log'!$C:$C,"&lt;="&amp;DATE(2023,10,7),'Quote Log'!$B:$B,"=Purchased")</f>
        <v>0</v>
      </c>
      <c r="H147" t="e">
        <f t="shared" si="64"/>
        <v>#N/A</v>
      </c>
      <c r="I147" s="339">
        <f t="shared" si="60"/>
        <v>0</v>
      </c>
      <c r="J147" s="339" t="e">
        <f t="shared" si="65"/>
        <v>#N/A</v>
      </c>
      <c r="K147">
        <f>COUNTIFS('Quote Log'!$C:$C,"&gt;="&amp;DATE(2023,10,1),'Quote Log'!$C:$C,"&lt;="&amp;DATE(2023,10,7),'Quote Log'!$B:$B,"=LOST")</f>
        <v>0</v>
      </c>
      <c r="L147">
        <f>COUNTIFS('Quote Log'!$B:$B,"&lt;&gt;VOID",'Quote Log'!$B:$B,"&lt;&gt;Requoted",'Quote Log'!$C:$C,"&gt;="&amp;DATE(2023,10,1),'Quote Log'!$C:$C,"&lt;="&amp;DATE(2023,10,7),'Quote Log'!$V:$V,"=new")</f>
        <v>0</v>
      </c>
      <c r="M147" s="349">
        <f t="shared" si="61"/>
        <v>0</v>
      </c>
      <c r="N147" s="339" t="e">
        <f t="shared" si="66"/>
        <v>#N/A</v>
      </c>
      <c r="O147" s="351">
        <f>SUMIFS('Quote Log'!$AB:$AB,'Quote Log'!$C:$C,"&gt;="&amp;DATE(2023,10,1),'Quote Log'!$C:$C,"&lt;="&amp;DATE(2023,10,7),'Quote Log'!$B:$B,"=Purchased",'Quote Log'!$AB:$AB,"&lt;&gt;#VALUE!")</f>
        <v>0</v>
      </c>
      <c r="P147" s="351" t="e">
        <f t="shared" si="67"/>
        <v>#N/A</v>
      </c>
      <c r="Q147" s="349" t="e">
        <f t="shared" si="58"/>
        <v>#DIV/0!</v>
      </c>
      <c r="R147" s="349" t="e">
        <f t="shared" si="68"/>
        <v>#N/A</v>
      </c>
      <c r="S147" s="351">
        <f t="shared" si="71"/>
        <v>0</v>
      </c>
      <c r="T147" s="351" t="e">
        <f t="shared" si="69"/>
        <v>#N/A</v>
      </c>
      <c r="U147" s="349" t="e">
        <f t="shared" si="59"/>
        <v>#DIV/0!</v>
      </c>
      <c r="V147" s="349" t="e">
        <f t="shared" si="70"/>
        <v>#N/A</v>
      </c>
    </row>
    <row r="148" spans="1:22" x14ac:dyDescent="0.25">
      <c r="A148">
        <v>2023</v>
      </c>
      <c r="B148" s="350">
        <v>41</v>
      </c>
      <c r="C148">
        <f>COUNTIFS('Quote Log'!$B:$B,"&lt;&gt;VOID",'Quote Log'!$B:$B,"&lt;&gt;Requoted",'Quote Log'!$C:$C,"&gt;="&amp;DATE(2023,10,8),'Quote Log'!$C:$C,"&lt;="&amp;DATE(2023,10,14))</f>
        <v>0</v>
      </c>
      <c r="D148" t="e">
        <f t="shared" si="62"/>
        <v>#N/A</v>
      </c>
      <c r="E148">
        <f>COUNTIFS('Quote Log'!$B:$B,"&lt;&gt;VOID",'Quote Log'!$B:$B,"&lt;&gt;Requoted",'Quote Log'!$H:$H,"&gt;="&amp;DATE(2023,10,8),'Quote Log'!$H:$H,"&lt;="&amp;DATE(2023,10,14))</f>
        <v>0</v>
      </c>
      <c r="F148" t="e">
        <f t="shared" si="63"/>
        <v>#N/A</v>
      </c>
      <c r="G148">
        <f>COUNTIFS('Quote Log'!$C:$C,"&gt;="&amp;DATE(2023,10,8),'Quote Log'!$C:$C,"&lt;="&amp;DATE(2023,10,14),'Quote Log'!$B:$B,"=Purchased")</f>
        <v>0</v>
      </c>
      <c r="H148" t="e">
        <f t="shared" si="64"/>
        <v>#N/A</v>
      </c>
      <c r="I148" s="339">
        <f t="shared" si="60"/>
        <v>0</v>
      </c>
      <c r="J148" s="339" t="e">
        <f t="shared" si="65"/>
        <v>#N/A</v>
      </c>
      <c r="K148">
        <f>COUNTIFS('Quote Log'!$C:$C,"&gt;="&amp;DATE(2023,10,8),'Quote Log'!$C:$C,"&lt;="&amp;DATE(2023,10,14),'Quote Log'!$B:$B,"=LOST")</f>
        <v>0</v>
      </c>
      <c r="L148">
        <f>COUNTIFS('Quote Log'!$B:$B,"&lt;&gt;VOID",'Quote Log'!$B:$B,"&lt;&gt;Requoted",'Quote Log'!$C:$C,"&gt;="&amp;DATE(2023,10,8),'Quote Log'!$C:$C,"&lt;="&amp;DATE(2023,10,14),'Quote Log'!$V:$V,"=new")</f>
        <v>0</v>
      </c>
      <c r="M148" s="349">
        <f t="shared" si="61"/>
        <v>0</v>
      </c>
      <c r="N148" s="339" t="e">
        <f t="shared" si="66"/>
        <v>#N/A</v>
      </c>
      <c r="O148" s="351">
        <f>SUMIFS('Quote Log'!$AB:$AB,'Quote Log'!$C:$C,"&gt;="&amp;DATE(2023,10,8),'Quote Log'!$C:$C,"&lt;="&amp;DATE(2023,10,14),'Quote Log'!$B:$B,"=Purchased",'Quote Log'!$AB:$AB,"&lt;&gt;#VALUE!")</f>
        <v>0</v>
      </c>
      <c r="P148" s="351" t="e">
        <f t="shared" si="67"/>
        <v>#N/A</v>
      </c>
      <c r="Q148" s="349" t="e">
        <f t="shared" si="58"/>
        <v>#DIV/0!</v>
      </c>
      <c r="R148" s="349" t="e">
        <f t="shared" si="68"/>
        <v>#N/A</v>
      </c>
      <c r="S148" s="351">
        <f t="shared" si="71"/>
        <v>0</v>
      </c>
      <c r="T148" s="351" t="e">
        <f t="shared" si="69"/>
        <v>#N/A</v>
      </c>
      <c r="U148" s="349" t="e">
        <f t="shared" si="59"/>
        <v>#DIV/0!</v>
      </c>
      <c r="V148" s="349" t="e">
        <f t="shared" si="70"/>
        <v>#N/A</v>
      </c>
    </row>
    <row r="149" spans="1:22" x14ac:dyDescent="0.25">
      <c r="A149">
        <v>2023</v>
      </c>
      <c r="B149" s="350">
        <v>42</v>
      </c>
      <c r="C149">
        <f>COUNTIFS('Quote Log'!$B:$B,"&lt;&gt;VOID",'Quote Log'!$B:$B,"&lt;&gt;Requoted",'Quote Log'!$C:$C,"&gt;="&amp;DATE(2023,10,15),'Quote Log'!$C:$C,"&lt;="&amp;DATE(2023,10,21))</f>
        <v>0</v>
      </c>
      <c r="D149" t="e">
        <f t="shared" si="62"/>
        <v>#N/A</v>
      </c>
      <c r="E149">
        <f>COUNTIFS('Quote Log'!$B:$B,"&lt;&gt;VOID",'Quote Log'!$B:$B,"&lt;&gt;Requoted",'Quote Log'!$H:$H,"&gt;="&amp;DATE(2023,10,15),'Quote Log'!$H:$H,"&lt;="&amp;DATE(2023,10,21))</f>
        <v>0</v>
      </c>
      <c r="F149" t="e">
        <f t="shared" si="63"/>
        <v>#N/A</v>
      </c>
      <c r="G149">
        <f>COUNTIFS('Quote Log'!$C:$C,"&gt;="&amp;DATE(2023,10,15),'Quote Log'!$C:$C,"&lt;="&amp;DATE(2023,10,21),'Quote Log'!$B:$B,"=Purchased")</f>
        <v>0</v>
      </c>
      <c r="H149" t="e">
        <f t="shared" si="64"/>
        <v>#N/A</v>
      </c>
      <c r="I149" s="339">
        <f t="shared" si="60"/>
        <v>0</v>
      </c>
      <c r="J149" s="339" t="e">
        <f t="shared" si="65"/>
        <v>#N/A</v>
      </c>
      <c r="K149">
        <f>COUNTIFS('Quote Log'!$C:$C,"&gt;="&amp;DATE(2023,10,15),'Quote Log'!$C:$C,"&lt;="&amp;DATE(2023,10,21),'Quote Log'!$B:$B,"=LOST")</f>
        <v>0</v>
      </c>
      <c r="L149">
        <f>COUNTIFS('Quote Log'!$B:$B,"&lt;&gt;VOID",'Quote Log'!$B:$B,"&lt;&gt;Requoted",'Quote Log'!$C:$C,"&gt;="&amp;DATE(2023,10,15),'Quote Log'!$C:$C,"&lt;="&amp;DATE(2023,10,21),'Quote Log'!$V:$V,"=new")</f>
        <v>0</v>
      </c>
      <c r="M149" s="349">
        <f t="shared" si="61"/>
        <v>0</v>
      </c>
      <c r="N149" s="339" t="e">
        <f t="shared" si="66"/>
        <v>#N/A</v>
      </c>
      <c r="O149" s="351">
        <f>SUMIFS('Quote Log'!$AB:$AB,'Quote Log'!$C:$C,"&gt;="&amp;DATE(2023,10,15),'Quote Log'!$C:$C,"&lt;="&amp;DATE(2023,10,21),'Quote Log'!$B:$B,"=Purchased",'Quote Log'!$AB:$AB,"&lt;&gt;#VALUE!")</f>
        <v>0</v>
      </c>
      <c r="P149" s="351" t="e">
        <f t="shared" si="67"/>
        <v>#N/A</v>
      </c>
      <c r="Q149" s="349" t="e">
        <f t="shared" si="58"/>
        <v>#DIV/0!</v>
      </c>
      <c r="R149" s="349" t="e">
        <f t="shared" si="68"/>
        <v>#N/A</v>
      </c>
      <c r="S149" s="351">
        <f t="shared" si="71"/>
        <v>0</v>
      </c>
      <c r="T149" s="351" t="e">
        <f t="shared" si="69"/>
        <v>#N/A</v>
      </c>
      <c r="U149" s="349" t="e">
        <f t="shared" si="59"/>
        <v>#DIV/0!</v>
      </c>
      <c r="V149" s="349" t="e">
        <f t="shared" si="70"/>
        <v>#N/A</v>
      </c>
    </row>
    <row r="150" spans="1:22" x14ac:dyDescent="0.25">
      <c r="A150">
        <v>2023</v>
      </c>
      <c r="B150" s="350">
        <v>43</v>
      </c>
      <c r="C150">
        <f>COUNTIFS('Quote Log'!$B:$B,"&lt;&gt;VOID",'Quote Log'!$B:$B,"&lt;&gt;Requoted",'Quote Log'!$C:$C,"&gt;="&amp;DATE(2023,10,22),'Quote Log'!$C:$C,"&lt;="&amp;DATE(2023,10,28))</f>
        <v>0</v>
      </c>
      <c r="D150" t="e">
        <f t="shared" si="62"/>
        <v>#N/A</v>
      </c>
      <c r="E150">
        <f>COUNTIFS('Quote Log'!$B:$B,"&lt;&gt;VOID",'Quote Log'!$B:$B,"&lt;&gt;Requoted",'Quote Log'!$H:$H,"&gt;="&amp;DATE(2023,10,22),'Quote Log'!$H:$H,"&lt;="&amp;DATE(2023,10,28))</f>
        <v>0</v>
      </c>
      <c r="F150" t="e">
        <f t="shared" si="63"/>
        <v>#N/A</v>
      </c>
      <c r="G150">
        <f>COUNTIFS('Quote Log'!$C:$C,"&gt;="&amp;DATE(2023,10,22),'Quote Log'!$C:$C,"&lt;="&amp;DATE(2023,10,28),'Quote Log'!$B:$B,"=Purchased")</f>
        <v>0</v>
      </c>
      <c r="H150" t="e">
        <f t="shared" si="64"/>
        <v>#N/A</v>
      </c>
      <c r="I150" s="339">
        <f t="shared" si="60"/>
        <v>0</v>
      </c>
      <c r="J150" s="339" t="e">
        <f t="shared" si="65"/>
        <v>#N/A</v>
      </c>
      <c r="K150">
        <f>COUNTIFS('Quote Log'!$C:$C,"&gt;="&amp;DATE(2023,10,22),'Quote Log'!$C:$C,"&lt;="&amp;DATE(2023,10,28),'Quote Log'!$B:$B,"=LOST")</f>
        <v>0</v>
      </c>
      <c r="L150">
        <f>COUNTIFS('Quote Log'!$B:$B,"&lt;&gt;VOID",'Quote Log'!$B:$B,"&lt;&gt;Requoted",'Quote Log'!$C:$C,"&gt;="&amp;DATE(2023,10,22),'Quote Log'!$C:$C,"&lt;="&amp;DATE(2023,10,28),'Quote Log'!$V:$V,"=new")</f>
        <v>0</v>
      </c>
      <c r="M150" s="349">
        <f t="shared" si="61"/>
        <v>0</v>
      </c>
      <c r="N150" s="339" t="e">
        <f t="shared" si="66"/>
        <v>#N/A</v>
      </c>
      <c r="O150" s="351">
        <f>SUMIFS('Quote Log'!$AB:$AB,'Quote Log'!$C:$C,"&gt;="&amp;DATE(2023,10,22),'Quote Log'!$C:$C,"&lt;="&amp;DATE(2023,10,28),'Quote Log'!$B:$B,"=Purchased",'Quote Log'!$AB:$AB,"&lt;&gt;#VALUE!")</f>
        <v>0</v>
      </c>
      <c r="P150" s="351" t="e">
        <f t="shared" si="67"/>
        <v>#N/A</v>
      </c>
      <c r="Q150" s="349" t="e">
        <f t="shared" si="58"/>
        <v>#DIV/0!</v>
      </c>
      <c r="R150" s="349" t="e">
        <f t="shared" si="68"/>
        <v>#N/A</v>
      </c>
      <c r="S150" s="351">
        <f t="shared" si="71"/>
        <v>0</v>
      </c>
      <c r="T150" s="351" t="e">
        <f t="shared" si="69"/>
        <v>#N/A</v>
      </c>
      <c r="U150" s="349" t="e">
        <f t="shared" si="59"/>
        <v>#DIV/0!</v>
      </c>
      <c r="V150" s="349" t="e">
        <f t="shared" si="70"/>
        <v>#N/A</v>
      </c>
    </row>
    <row r="151" spans="1:22" x14ac:dyDescent="0.25">
      <c r="A151">
        <v>2023</v>
      </c>
      <c r="B151" s="350">
        <v>44</v>
      </c>
      <c r="C151">
        <f>COUNTIFS('Quote Log'!$B:$B,"&lt;&gt;VOID",'Quote Log'!$B:$B,"&lt;&gt;Requoted",'Quote Log'!$C:$C,"&gt;="&amp;DATE(2023,10,29),'Quote Log'!$C:$C,"&lt;="&amp;DATE(2023,11,4))</f>
        <v>0</v>
      </c>
      <c r="D151" t="e">
        <f t="shared" si="62"/>
        <v>#N/A</v>
      </c>
      <c r="E151">
        <f>COUNTIFS('Quote Log'!$B:$B,"&lt;&gt;VOID",'Quote Log'!$B:$B,"&lt;&gt;Requoted",'Quote Log'!$H:$H,"&gt;="&amp;DATE(2023,10,29),'Quote Log'!$H:$H,"&lt;="&amp;DATE(2023,11,4))</f>
        <v>0</v>
      </c>
      <c r="F151" t="e">
        <f t="shared" si="63"/>
        <v>#N/A</v>
      </c>
      <c r="G151">
        <f>COUNTIFS('Quote Log'!$C:$C,"&gt;="&amp;DATE(2023,10,29),'Quote Log'!$C:$C,"&lt;="&amp;DATE(2023,11,4),'Quote Log'!$B:$B,"=Purchased")</f>
        <v>0</v>
      </c>
      <c r="H151" t="e">
        <f t="shared" si="64"/>
        <v>#N/A</v>
      </c>
      <c r="I151" s="339">
        <f t="shared" si="60"/>
        <v>0</v>
      </c>
      <c r="J151" s="339" t="e">
        <f t="shared" si="65"/>
        <v>#N/A</v>
      </c>
      <c r="K151">
        <f>COUNTIFS('Quote Log'!$C:$C,"&gt;="&amp;DATE(2023,10,29),'Quote Log'!$C:$C,"&lt;="&amp;DATE(2023,11,4),'Quote Log'!$B:$B,"=LOST")</f>
        <v>0</v>
      </c>
      <c r="L151">
        <f>COUNTIFS('Quote Log'!$B:$B,"&lt;&gt;VOID",'Quote Log'!$B:$B,"&lt;&gt;Requoted",'Quote Log'!$C:$C,"&gt;="&amp;DATE(2023,10,29),'Quote Log'!$C:$C,"&lt;="&amp;DATE(2023,11,4),'Quote Log'!$V:$V,"=new")</f>
        <v>0</v>
      </c>
      <c r="M151" s="349">
        <f t="shared" si="61"/>
        <v>0</v>
      </c>
      <c r="N151" s="339" t="e">
        <f t="shared" si="66"/>
        <v>#N/A</v>
      </c>
      <c r="O151" s="351">
        <f>SUMIFS('Quote Log'!$AB:$AB,'Quote Log'!$C:$C,"&gt;="&amp;DATE(2023,10,29),'Quote Log'!$C:$C,"&lt;="&amp;DATE(2023,11,4),'Quote Log'!$B:$B,"=Purchased",'Quote Log'!$AB:$AB,"&lt;&gt;#VALUE!")</f>
        <v>0</v>
      </c>
      <c r="P151" s="351" t="e">
        <f t="shared" si="67"/>
        <v>#N/A</v>
      </c>
      <c r="Q151" s="349" t="e">
        <f t="shared" ref="Q151:Q182" si="72">(O151-O98)/O98</f>
        <v>#DIV/0!</v>
      </c>
      <c r="R151" s="349" t="e">
        <f t="shared" si="68"/>
        <v>#N/A</v>
      </c>
      <c r="S151" s="351">
        <f t="shared" si="71"/>
        <v>0</v>
      </c>
      <c r="T151" s="351" t="e">
        <f t="shared" si="69"/>
        <v>#N/A</v>
      </c>
      <c r="U151" s="349" t="e">
        <f t="shared" ref="U151:U182" si="73">(S151-S98)/S98</f>
        <v>#DIV/0!</v>
      </c>
      <c r="V151" s="349" t="e">
        <f t="shared" si="70"/>
        <v>#N/A</v>
      </c>
    </row>
    <row r="152" spans="1:22" x14ac:dyDescent="0.25">
      <c r="A152">
        <v>2023</v>
      </c>
      <c r="B152" s="350">
        <v>45</v>
      </c>
      <c r="C152">
        <f>COUNTIFS('Quote Log'!$B:$B,"&lt;&gt;VOID",'Quote Log'!$B:$B,"&lt;&gt;Requoted",'Quote Log'!$C:$C,"&gt;="&amp;DATE(2023,11,5),'Quote Log'!$C:$C,"&lt;="&amp;DATE(2023,11,11))</f>
        <v>0</v>
      </c>
      <c r="D152" t="e">
        <f t="shared" si="62"/>
        <v>#N/A</v>
      </c>
      <c r="E152">
        <f>COUNTIFS('Quote Log'!$B:$B,"&lt;&gt;VOID",'Quote Log'!$B:$B,"&lt;&gt;Requoted",'Quote Log'!$H:$H,"&gt;="&amp;DATE(2023,11,5),'Quote Log'!$H:$H,"&lt;="&amp;DATE(2023,11,11))</f>
        <v>0</v>
      </c>
      <c r="F152" t="e">
        <f t="shared" si="63"/>
        <v>#N/A</v>
      </c>
      <c r="G152">
        <f>COUNTIFS('Quote Log'!$C:$C,"&gt;="&amp;DATE(2023,11,5),'Quote Log'!$C:$C,"&lt;="&amp;DATE(2023,11,11),'Quote Log'!$B:$B,"=Purchased")</f>
        <v>0</v>
      </c>
      <c r="H152" t="e">
        <f t="shared" si="64"/>
        <v>#N/A</v>
      </c>
      <c r="I152" s="339">
        <f t="shared" si="60"/>
        <v>0</v>
      </c>
      <c r="J152" s="339" t="e">
        <f t="shared" si="65"/>
        <v>#N/A</v>
      </c>
      <c r="K152">
        <f>COUNTIFS('Quote Log'!$C:$C,"&gt;="&amp;DATE(2023,11,5),'Quote Log'!$C:$C,"&lt;="&amp;DATE(2023,11,11),'Quote Log'!$B:$B,"=LOST")</f>
        <v>0</v>
      </c>
      <c r="L152">
        <f>COUNTIFS('Quote Log'!$B:$B,"&lt;&gt;VOID",'Quote Log'!$B:$B,"&lt;&gt;Requoted",'Quote Log'!$C:$C,"&gt;="&amp;DATE(2023,11,5),'Quote Log'!$C:$C,"&lt;="&amp;DATE(2023,11,11),'Quote Log'!$V:$V,"=new")</f>
        <v>0</v>
      </c>
      <c r="M152" s="349">
        <f t="shared" si="61"/>
        <v>0</v>
      </c>
      <c r="N152" s="339" t="e">
        <f t="shared" si="66"/>
        <v>#N/A</v>
      </c>
      <c r="O152" s="351">
        <f>SUMIFS('Quote Log'!$AB:$AB,'Quote Log'!$C:$C,"&gt;="&amp;DATE(2023,11,5),'Quote Log'!$C:$C,"&lt;="&amp;DATE(2023,11,11),'Quote Log'!$B:$B,"=Purchased",'Quote Log'!$AB:$AB,"&lt;&gt;#VALUE!")</f>
        <v>0</v>
      </c>
      <c r="P152" s="351" t="e">
        <f t="shared" si="67"/>
        <v>#N/A</v>
      </c>
      <c r="Q152" s="349" t="e">
        <f t="shared" si="72"/>
        <v>#DIV/0!</v>
      </c>
      <c r="R152" s="349" t="e">
        <f t="shared" si="68"/>
        <v>#N/A</v>
      </c>
      <c r="S152" s="351">
        <f t="shared" si="71"/>
        <v>0</v>
      </c>
      <c r="T152" s="351" t="e">
        <f t="shared" si="69"/>
        <v>#N/A</v>
      </c>
      <c r="U152" s="349" t="e">
        <f t="shared" si="73"/>
        <v>#DIV/0!</v>
      </c>
      <c r="V152" s="349" t="e">
        <f t="shared" si="70"/>
        <v>#N/A</v>
      </c>
    </row>
    <row r="153" spans="1:22" x14ac:dyDescent="0.25">
      <c r="A153">
        <v>2023</v>
      </c>
      <c r="B153" s="350">
        <v>46</v>
      </c>
      <c r="C153">
        <f>COUNTIFS('Quote Log'!$B:$B,"&lt;&gt;VOID",'Quote Log'!$B:$B,"&lt;&gt;Requoted",'Quote Log'!$C:$C,"&gt;="&amp;DATE(2023,11,12),'Quote Log'!$C:$C,"&lt;="&amp;DATE(2023,11,18))</f>
        <v>0</v>
      </c>
      <c r="D153" t="e">
        <f t="shared" si="62"/>
        <v>#N/A</v>
      </c>
      <c r="E153">
        <f>COUNTIFS('Quote Log'!$B:$B,"&lt;&gt;VOID",'Quote Log'!$B:$B,"&lt;&gt;Requoted",'Quote Log'!$H:$H,"&gt;="&amp;DATE(2023,11,12),'Quote Log'!$H:$H,"&lt;="&amp;DATE(2023,11,18))</f>
        <v>0</v>
      </c>
      <c r="F153" t="e">
        <f t="shared" si="63"/>
        <v>#N/A</v>
      </c>
      <c r="G153">
        <f>COUNTIFS('Quote Log'!$C:$C,"&gt;="&amp;DATE(2023,11,12),'Quote Log'!$C:$C,"&lt;="&amp;DATE(2023,11,18),'Quote Log'!$B:$B,"=Purchased")</f>
        <v>0</v>
      </c>
      <c r="H153" t="e">
        <f t="shared" si="64"/>
        <v>#N/A</v>
      </c>
      <c r="I153" s="339">
        <f t="shared" si="60"/>
        <v>0</v>
      </c>
      <c r="J153" s="339" t="e">
        <f t="shared" si="65"/>
        <v>#N/A</v>
      </c>
      <c r="K153">
        <f>COUNTIFS('Quote Log'!$C:$C,"&gt;="&amp;DATE(2023,11,12),'Quote Log'!$C:$C,"&lt;="&amp;DATE(2023,11,18),'Quote Log'!$B:$B,"=LOST")</f>
        <v>0</v>
      </c>
      <c r="L153">
        <f>COUNTIFS('Quote Log'!$B:$B,"&lt;&gt;VOID",'Quote Log'!$B:$B,"&lt;&gt;Requoted",'Quote Log'!$C:$C,"&gt;="&amp;DATE(2023,11,12),'Quote Log'!$C:$C,"&lt;="&amp;DATE(2023,11,18),'Quote Log'!$V:$V,"=new")</f>
        <v>0</v>
      </c>
      <c r="M153" s="349">
        <f t="shared" si="61"/>
        <v>0</v>
      </c>
      <c r="N153" s="339" t="e">
        <f t="shared" si="66"/>
        <v>#N/A</v>
      </c>
      <c r="O153" s="351">
        <f>SUMIFS('Quote Log'!$AB:$AB,'Quote Log'!$C:$C,"&gt;="&amp;DATE(2023,11,12),'Quote Log'!$C:$C,"&lt;="&amp;DATE(2023,11,18),'Quote Log'!$B:$B,"=Purchased",'Quote Log'!$AB:$AB,"&lt;&gt;#VALUE!")</f>
        <v>0</v>
      </c>
      <c r="P153" s="351" t="e">
        <f t="shared" si="67"/>
        <v>#N/A</v>
      </c>
      <c r="Q153" s="349" t="e">
        <f t="shared" si="72"/>
        <v>#DIV/0!</v>
      </c>
      <c r="R153" s="349" t="e">
        <f t="shared" si="68"/>
        <v>#N/A</v>
      </c>
      <c r="S153" s="351">
        <f t="shared" si="71"/>
        <v>0</v>
      </c>
      <c r="T153" s="351" t="e">
        <f t="shared" si="69"/>
        <v>#N/A</v>
      </c>
      <c r="U153" s="349" t="e">
        <f t="shared" si="73"/>
        <v>#DIV/0!</v>
      </c>
      <c r="V153" s="349" t="e">
        <f t="shared" si="70"/>
        <v>#N/A</v>
      </c>
    </row>
    <row r="154" spans="1:22" x14ac:dyDescent="0.25">
      <c r="A154">
        <v>2023</v>
      </c>
      <c r="B154" s="350">
        <v>47</v>
      </c>
      <c r="C154">
        <f>COUNTIFS('Quote Log'!$B:$B,"&lt;&gt;VOID",'Quote Log'!$B:$B,"&lt;&gt;Requoted",'Quote Log'!$C:$C,"&gt;="&amp;DATE(2023,11,19),'Quote Log'!$C:$C,"&lt;="&amp;DATE(2023,11,25))</f>
        <v>0</v>
      </c>
      <c r="D154" t="e">
        <f t="shared" si="62"/>
        <v>#N/A</v>
      </c>
      <c r="E154">
        <f>COUNTIFS('Quote Log'!$B:$B,"&lt;&gt;VOID",'Quote Log'!$B:$B,"&lt;&gt;Requoted",'Quote Log'!$H:$H,"&gt;="&amp;DATE(2023,11,19),'Quote Log'!$H:$H,"&lt;="&amp;DATE(2023,11,25))</f>
        <v>0</v>
      </c>
      <c r="F154" t="e">
        <f t="shared" si="63"/>
        <v>#N/A</v>
      </c>
      <c r="G154">
        <f>COUNTIFS('Quote Log'!$C:$C,"&gt;="&amp;DATE(2023,11,19),'Quote Log'!$C:$C,"&lt;="&amp;DATE(2023,11,25),'Quote Log'!$B:$B,"=Purchased")</f>
        <v>0</v>
      </c>
      <c r="H154" t="e">
        <f t="shared" si="64"/>
        <v>#N/A</v>
      </c>
      <c r="I154" s="339">
        <f t="shared" si="60"/>
        <v>0</v>
      </c>
      <c r="J154" s="339" t="e">
        <f t="shared" si="65"/>
        <v>#N/A</v>
      </c>
      <c r="K154">
        <f>COUNTIFS('Quote Log'!$C:$C,"&gt;="&amp;DATE(2023,11,19),'Quote Log'!$C:$C,"&lt;="&amp;DATE(2023,11,25),'Quote Log'!$B:$B,"=LOST")</f>
        <v>0</v>
      </c>
      <c r="L154">
        <f>COUNTIFS('Quote Log'!$B:$B,"&lt;&gt;VOID",'Quote Log'!$B:$B,"&lt;&gt;Requoted",'Quote Log'!$C:$C,"&gt;="&amp;DATE(2023,11,19),'Quote Log'!$C:$C,"&lt;="&amp;DATE(2023,11,25),'Quote Log'!$V:$V,"=new")</f>
        <v>0</v>
      </c>
      <c r="M154" s="349">
        <f t="shared" si="61"/>
        <v>0</v>
      </c>
      <c r="N154" s="339" t="e">
        <f t="shared" si="66"/>
        <v>#N/A</v>
      </c>
      <c r="O154" s="351">
        <f>SUMIFS('Quote Log'!$AB:$AB,'Quote Log'!$C:$C,"&gt;="&amp;DATE(2023,11,19),'Quote Log'!$C:$C,"&lt;="&amp;DATE(2023,11,25),'Quote Log'!$B:$B,"=Purchased",'Quote Log'!$AB:$AB,"&lt;&gt;#VALUE!")</f>
        <v>0</v>
      </c>
      <c r="P154" s="351" t="e">
        <f t="shared" si="67"/>
        <v>#N/A</v>
      </c>
      <c r="Q154" s="349" t="e">
        <f t="shared" si="72"/>
        <v>#DIV/0!</v>
      </c>
      <c r="R154" s="349" t="e">
        <f t="shared" si="68"/>
        <v>#N/A</v>
      </c>
      <c r="S154" s="351">
        <f t="shared" si="71"/>
        <v>0</v>
      </c>
      <c r="T154" s="351" t="e">
        <f t="shared" si="69"/>
        <v>#N/A</v>
      </c>
      <c r="U154" s="349" t="e">
        <f t="shared" si="73"/>
        <v>#DIV/0!</v>
      </c>
      <c r="V154" s="349" t="e">
        <f t="shared" si="70"/>
        <v>#N/A</v>
      </c>
    </row>
    <row r="155" spans="1:22" x14ac:dyDescent="0.25">
      <c r="A155">
        <v>2023</v>
      </c>
      <c r="B155" s="350">
        <v>48</v>
      </c>
      <c r="C155">
        <f>COUNTIFS('Quote Log'!$B:$B,"&lt;&gt;VOID",'Quote Log'!$B:$B,"&lt;&gt;Requoted",'Quote Log'!$C:$C,"&gt;="&amp;DATE(2023,11,26),'Quote Log'!$C:$C,"&lt;="&amp;DATE(2023,12,2))</f>
        <v>0</v>
      </c>
      <c r="D155" t="e">
        <f t="shared" si="62"/>
        <v>#N/A</v>
      </c>
      <c r="E155">
        <f>COUNTIFS('Quote Log'!$B:$B,"&lt;&gt;VOID",'Quote Log'!$B:$B,"&lt;&gt;Requoted",'Quote Log'!$H:$H,"&gt;="&amp;DATE(2023,11,26),'Quote Log'!$H:$H,"&lt;="&amp;DATE(2023,12,2))</f>
        <v>0</v>
      </c>
      <c r="F155" t="e">
        <f t="shared" si="63"/>
        <v>#N/A</v>
      </c>
      <c r="G155">
        <f>COUNTIFS('Quote Log'!$C:$C,"&gt;="&amp;DATE(2023,11,26),'Quote Log'!$C:$C,"&lt;="&amp;DATE(2023,12,2),'Quote Log'!$B:$B,"=Purchased")</f>
        <v>0</v>
      </c>
      <c r="H155" t="e">
        <f t="shared" si="64"/>
        <v>#N/A</v>
      </c>
      <c r="I155" s="339">
        <f t="shared" si="60"/>
        <v>0</v>
      </c>
      <c r="J155" s="339" t="e">
        <f t="shared" si="65"/>
        <v>#N/A</v>
      </c>
      <c r="K155">
        <f>COUNTIFS('Quote Log'!$C:$C,"&gt;="&amp;DATE(2023,11,26),'Quote Log'!$C:$C,"&lt;="&amp;DATE(2023,12,2),'Quote Log'!$B:$B,"=LOST")</f>
        <v>0</v>
      </c>
      <c r="L155">
        <f>COUNTIFS('Quote Log'!$B:$B,"&lt;&gt;VOID",'Quote Log'!$B:$B,"&lt;&gt;Requoted",'Quote Log'!$C:$C,"&gt;="&amp;DATE(2023,11,26),'Quote Log'!$C:$C,"&lt;="&amp;DATE(2023,12,2),'Quote Log'!$V:$V,"=new")</f>
        <v>0</v>
      </c>
      <c r="M155" s="349">
        <f t="shared" si="61"/>
        <v>0</v>
      </c>
      <c r="N155" s="339" t="e">
        <f t="shared" si="66"/>
        <v>#N/A</v>
      </c>
      <c r="O155" s="351">
        <f>SUMIFS('Quote Log'!$AB:$AB,'Quote Log'!$C:$C,"&gt;="&amp;DATE(2023,11,26),'Quote Log'!$C:$C,"&lt;="&amp;DATE(2023,12,2),'Quote Log'!$B:$B,"=Purchased",'Quote Log'!$AB:$AB,"&lt;&gt;#VALUE!")</f>
        <v>0</v>
      </c>
      <c r="P155" s="351" t="e">
        <f t="shared" si="67"/>
        <v>#N/A</v>
      </c>
      <c r="Q155" s="349" t="e">
        <f t="shared" si="72"/>
        <v>#DIV/0!</v>
      </c>
      <c r="R155" s="349" t="e">
        <f t="shared" si="68"/>
        <v>#N/A</v>
      </c>
      <c r="S155" s="351">
        <f t="shared" si="71"/>
        <v>0</v>
      </c>
      <c r="T155" s="351" t="e">
        <f t="shared" si="69"/>
        <v>#N/A</v>
      </c>
      <c r="U155" s="349" t="e">
        <f t="shared" si="73"/>
        <v>#DIV/0!</v>
      </c>
      <c r="V155" s="349" t="e">
        <f t="shared" si="70"/>
        <v>#N/A</v>
      </c>
    </row>
    <row r="156" spans="1:22" x14ac:dyDescent="0.25">
      <c r="A156">
        <v>2023</v>
      </c>
      <c r="B156" s="350">
        <v>49</v>
      </c>
      <c r="C156">
        <f>COUNTIFS('Quote Log'!$B:$B,"&lt;&gt;VOID",'Quote Log'!$B:$B,"&lt;&gt;Requoted",'Quote Log'!$C:$C,"&gt;="&amp;DATE(2023,12,3),'Quote Log'!$C:$C,"&lt;="&amp;DATE(2023,12,9))</f>
        <v>0</v>
      </c>
      <c r="D156" t="e">
        <f t="shared" si="62"/>
        <v>#N/A</v>
      </c>
      <c r="E156">
        <f>COUNTIFS('Quote Log'!$B:$B,"&lt;&gt;VOID",'Quote Log'!$B:$B,"&lt;&gt;Requoted",'Quote Log'!$H:$H,"&gt;="&amp;DATE(2023,12,3),'Quote Log'!$H:$H,"&lt;="&amp;DATE(2023,12,9))</f>
        <v>0</v>
      </c>
      <c r="F156" t="e">
        <f t="shared" si="63"/>
        <v>#N/A</v>
      </c>
      <c r="G156">
        <f>COUNTIFS('Quote Log'!$C:$C,"&gt;="&amp;DATE(2023,12,3),'Quote Log'!$C:$C,"&lt;="&amp;DATE(2023,12,9),'Quote Log'!$B:$B,"=Purchased")</f>
        <v>0</v>
      </c>
      <c r="H156" t="e">
        <f t="shared" si="64"/>
        <v>#N/A</v>
      </c>
      <c r="I156" s="339">
        <f t="shared" si="60"/>
        <v>0</v>
      </c>
      <c r="J156" s="339" t="e">
        <f t="shared" si="65"/>
        <v>#N/A</v>
      </c>
      <c r="K156">
        <f>COUNTIFS('Quote Log'!$C:$C,"&gt;="&amp;DATE(2023,12,3),'Quote Log'!$C:$C,"&lt;="&amp;DATE(2023,12,9),'Quote Log'!$B:$B,"=LOST")</f>
        <v>0</v>
      </c>
      <c r="L156">
        <f>COUNTIFS('Quote Log'!$B:$B,"&lt;&gt;VOID",'Quote Log'!$B:$B,"&lt;&gt;Requoted",'Quote Log'!$C:$C,"&gt;="&amp;DATE(2023,12,3),'Quote Log'!$C:$C,"&lt;="&amp;DATE(2023,12,9),'Quote Log'!$V:$V,"=new")</f>
        <v>0</v>
      </c>
      <c r="M156" s="349">
        <f t="shared" si="61"/>
        <v>0</v>
      </c>
      <c r="N156" s="339" t="e">
        <f t="shared" si="66"/>
        <v>#N/A</v>
      </c>
      <c r="O156" s="351">
        <f>SUMIFS('Quote Log'!$AB:$AB,'Quote Log'!$C:$C,"&gt;="&amp;DATE(2023,12,3),'Quote Log'!$C:$C,"&lt;="&amp;DATE(2023,12,9),'Quote Log'!$B:$B,"=Purchased",'Quote Log'!$AB:$AB,"&lt;&gt;#VALUE!")</f>
        <v>0</v>
      </c>
      <c r="P156" s="351" t="e">
        <f t="shared" si="67"/>
        <v>#N/A</v>
      </c>
      <c r="Q156" s="349" t="e">
        <f t="shared" si="72"/>
        <v>#DIV/0!</v>
      </c>
      <c r="R156" s="349" t="e">
        <f t="shared" si="68"/>
        <v>#N/A</v>
      </c>
      <c r="S156" s="351">
        <f t="shared" si="71"/>
        <v>0</v>
      </c>
      <c r="T156" s="351" t="e">
        <f t="shared" si="69"/>
        <v>#N/A</v>
      </c>
      <c r="U156" s="349" t="e">
        <f t="shared" si="73"/>
        <v>#DIV/0!</v>
      </c>
      <c r="V156" s="349" t="e">
        <f t="shared" si="70"/>
        <v>#N/A</v>
      </c>
    </row>
    <row r="157" spans="1:22" x14ac:dyDescent="0.25">
      <c r="A157">
        <v>2023</v>
      </c>
      <c r="B157" s="350">
        <v>50</v>
      </c>
      <c r="C157">
        <f>COUNTIFS('Quote Log'!$B:$B,"&lt;&gt;VOID",'Quote Log'!$B:$B,"&lt;&gt;Requoted",'Quote Log'!$C:$C,"&gt;="&amp;DATE(2023,12,10),'Quote Log'!$C:$C,"&lt;="&amp;DATE(2023,12,16))</f>
        <v>0</v>
      </c>
      <c r="D157" t="e">
        <f t="shared" si="62"/>
        <v>#N/A</v>
      </c>
      <c r="E157">
        <f>COUNTIFS('Quote Log'!$B:$B,"&lt;&gt;VOID",'Quote Log'!$B:$B,"&lt;&gt;Requoted",'Quote Log'!$H:$H,"&gt;="&amp;DATE(2023,12,10),'Quote Log'!$H:$H,"&lt;="&amp;DATE(2023,12,16))</f>
        <v>0</v>
      </c>
      <c r="F157" t="e">
        <f t="shared" si="63"/>
        <v>#N/A</v>
      </c>
      <c r="G157">
        <f>COUNTIFS('Quote Log'!$C:$C,"&gt;="&amp;DATE(2023,12,10),'Quote Log'!$C:$C,"&lt;="&amp;DATE(2023,12,16),'Quote Log'!$B:$B,"=Purchased")</f>
        <v>0</v>
      </c>
      <c r="H157" t="e">
        <f t="shared" si="64"/>
        <v>#N/A</v>
      </c>
      <c r="I157" s="339">
        <f t="shared" si="60"/>
        <v>0</v>
      </c>
      <c r="J157" s="339" t="e">
        <f t="shared" si="65"/>
        <v>#N/A</v>
      </c>
      <c r="K157">
        <f>COUNTIFS('Quote Log'!$C:$C,"&gt;="&amp;DATE(2023,12,10),'Quote Log'!$C:$C,"&lt;="&amp;DATE(2023,12,16),'Quote Log'!$B:$B,"=LOST")</f>
        <v>0</v>
      </c>
      <c r="L157">
        <f>COUNTIFS('Quote Log'!$B:$B,"&lt;&gt;VOID",'Quote Log'!$B:$B,"&lt;&gt;Requoted",'Quote Log'!$C:$C,"&gt;="&amp;DATE(2023,12,10),'Quote Log'!$C:$C,"&lt;="&amp;DATE(2023,12,16),'Quote Log'!$V:$V,"=new")</f>
        <v>0</v>
      </c>
      <c r="M157" s="349">
        <f t="shared" si="61"/>
        <v>0</v>
      </c>
      <c r="N157" s="339" t="e">
        <f t="shared" si="66"/>
        <v>#N/A</v>
      </c>
      <c r="O157" s="351">
        <f>SUMIFS('Quote Log'!$AB:$AB,'Quote Log'!$C:$C,"&gt;="&amp;DATE(2023,12,10),'Quote Log'!$C:$C,"&lt;="&amp;DATE(2023,12,16),'Quote Log'!$B:$B,"=Purchased",'Quote Log'!$AB:$AB,"&lt;&gt;#VALUE!")</f>
        <v>0</v>
      </c>
      <c r="P157" s="351" t="e">
        <f t="shared" si="67"/>
        <v>#N/A</v>
      </c>
      <c r="Q157" s="349" t="e">
        <f t="shared" si="72"/>
        <v>#DIV/0!</v>
      </c>
      <c r="R157" s="349" t="e">
        <f t="shared" si="68"/>
        <v>#N/A</v>
      </c>
      <c r="S157" s="351">
        <f t="shared" si="71"/>
        <v>0</v>
      </c>
      <c r="T157" s="351" t="e">
        <f t="shared" si="69"/>
        <v>#N/A</v>
      </c>
      <c r="U157" s="349" t="e">
        <f t="shared" si="73"/>
        <v>#DIV/0!</v>
      </c>
      <c r="V157" s="349" t="e">
        <f t="shared" si="70"/>
        <v>#N/A</v>
      </c>
    </row>
    <row r="158" spans="1:22" x14ac:dyDescent="0.25">
      <c r="A158">
        <v>2023</v>
      </c>
      <c r="B158" s="350">
        <v>51</v>
      </c>
      <c r="C158">
        <f>COUNTIFS('Quote Log'!$B:$B,"&lt;&gt;VOID",'Quote Log'!$B:$B,"&lt;&gt;Requoted",'Quote Log'!$C:$C,"&gt;="&amp;DATE(2023,12,17),'Quote Log'!$C:$C,"&lt;="&amp;DATE(2023,12,23))</f>
        <v>0</v>
      </c>
      <c r="D158" t="e">
        <f t="shared" si="62"/>
        <v>#N/A</v>
      </c>
      <c r="E158">
        <f>COUNTIFS('Quote Log'!$B:$B,"&lt;&gt;VOID",'Quote Log'!$B:$B,"&lt;&gt;Requoted",'Quote Log'!$H:$H,"&gt;="&amp;DATE(2023,12,17),'Quote Log'!$H:$H,"&lt;="&amp;DATE(2023,12,23))</f>
        <v>0</v>
      </c>
      <c r="F158" t="e">
        <f t="shared" si="63"/>
        <v>#N/A</v>
      </c>
      <c r="G158">
        <f>COUNTIFS('Quote Log'!$C:$C,"&gt;="&amp;DATE(2023,12,17),'Quote Log'!$C:$C,"&lt;="&amp;DATE(2023,12,23),'Quote Log'!$B:$B,"=Purchased")</f>
        <v>0</v>
      </c>
      <c r="H158" t="e">
        <f t="shared" si="64"/>
        <v>#N/A</v>
      </c>
      <c r="I158" s="339">
        <f t="shared" si="60"/>
        <v>0</v>
      </c>
      <c r="J158" s="339" t="e">
        <f t="shared" si="65"/>
        <v>#N/A</v>
      </c>
      <c r="K158">
        <f>COUNTIFS('Quote Log'!$C:$C,"&gt;="&amp;DATE(2023,12,17),'Quote Log'!$C:$C,"&lt;="&amp;DATE(2023,12,23),'Quote Log'!$B:$B,"=LOST")</f>
        <v>0</v>
      </c>
      <c r="L158">
        <f>COUNTIFS('Quote Log'!$B:$B,"&lt;&gt;VOID",'Quote Log'!$B:$B,"&lt;&gt;Requoted",'Quote Log'!$C:$C,"&gt;="&amp;DATE(2023,12,17),'Quote Log'!$C:$C,"&lt;="&amp;DATE(2023,12,23),'Quote Log'!$V:$V,"=new")</f>
        <v>0</v>
      </c>
      <c r="M158" s="349">
        <f t="shared" si="61"/>
        <v>0</v>
      </c>
      <c r="N158" s="339" t="e">
        <f t="shared" si="66"/>
        <v>#N/A</v>
      </c>
      <c r="O158" s="351">
        <f>SUMIFS('Quote Log'!$AB:$AB,'Quote Log'!$C:$C,"&gt;="&amp;DATE(2023,12,17),'Quote Log'!$C:$C,"&lt;="&amp;DATE(2023,12,23),'Quote Log'!$B:$B,"=Purchased",'Quote Log'!$AB:$AB,"&lt;&gt;#VALUE!")</f>
        <v>0</v>
      </c>
      <c r="P158" s="351" t="e">
        <f t="shared" si="67"/>
        <v>#N/A</v>
      </c>
      <c r="Q158" s="349" t="e">
        <f t="shared" si="72"/>
        <v>#DIV/0!</v>
      </c>
      <c r="R158" s="349" t="e">
        <f t="shared" si="68"/>
        <v>#N/A</v>
      </c>
      <c r="S158" s="351">
        <f t="shared" si="71"/>
        <v>0</v>
      </c>
      <c r="T158" s="351" t="e">
        <f t="shared" si="69"/>
        <v>#N/A</v>
      </c>
      <c r="U158" s="349" t="e">
        <f t="shared" si="73"/>
        <v>#DIV/0!</v>
      </c>
      <c r="V158" s="349" t="e">
        <f t="shared" si="70"/>
        <v>#N/A</v>
      </c>
    </row>
    <row r="159" spans="1:22" x14ac:dyDescent="0.25">
      <c r="A159">
        <v>2023</v>
      </c>
      <c r="B159" s="350">
        <v>52</v>
      </c>
      <c r="C159">
        <f>COUNTIFS('Quote Log'!$B:$B,"&lt;&gt;VOID",'Quote Log'!$B:$B,"&lt;&gt;Requoted",'Quote Log'!$C:$C,"&gt;="&amp;DATE(2023,12,24),'Quote Log'!$C:$C,"&lt;="&amp;DATE(2023,12,30))</f>
        <v>0</v>
      </c>
      <c r="D159" t="e">
        <f t="shared" si="62"/>
        <v>#N/A</v>
      </c>
      <c r="E159">
        <f>COUNTIFS('Quote Log'!$B:$B,"&lt;&gt;VOID",'Quote Log'!$B:$B,"&lt;&gt;Requoted",'Quote Log'!$H:$H,"&gt;="&amp;DATE(2023,12,24),'Quote Log'!$H:$H,"&lt;="&amp;DATE(2023,12,30))</f>
        <v>0</v>
      </c>
      <c r="F159" t="e">
        <f t="shared" si="63"/>
        <v>#N/A</v>
      </c>
      <c r="G159">
        <f>COUNTIFS('Quote Log'!$C:$C,"&gt;="&amp;DATE(2023,12,24),'Quote Log'!$C:$C,"&lt;="&amp;DATE(2023,12,30),'Quote Log'!$B:$B,"=Purchased")</f>
        <v>0</v>
      </c>
      <c r="H159" t="e">
        <f t="shared" si="64"/>
        <v>#N/A</v>
      </c>
      <c r="I159" s="339">
        <f t="shared" si="60"/>
        <v>0</v>
      </c>
      <c r="J159" s="339" t="e">
        <f t="shared" si="65"/>
        <v>#N/A</v>
      </c>
      <c r="K159">
        <f>COUNTIFS('Quote Log'!$C:$C,"&gt;="&amp;DATE(2023,12,24),'Quote Log'!$C:$C,"&lt;="&amp;DATE(2023,12,30),'Quote Log'!$B:$B,"=LOST")</f>
        <v>0</v>
      </c>
      <c r="L159">
        <f>COUNTIFS('Quote Log'!$B:$B,"&lt;&gt;VOID",'Quote Log'!$B:$B,"&lt;&gt;Requoted",'Quote Log'!$C:$C,"&gt;="&amp;DATE(2023,12,24),'Quote Log'!$C:$C,"&lt;="&amp;DATE(2023,12,30),'Quote Log'!$V:$V,"=new")</f>
        <v>0</v>
      </c>
      <c r="M159" s="349">
        <f t="shared" si="61"/>
        <v>0</v>
      </c>
      <c r="N159" s="339" t="e">
        <f t="shared" si="66"/>
        <v>#N/A</v>
      </c>
      <c r="O159" s="351">
        <f>SUMIFS('Quote Log'!$AB:$AB,'Quote Log'!$C:$C,"&gt;="&amp;DATE(2023,12,24),'Quote Log'!$C:$C,"&lt;="&amp;DATE(2023,12,30),'Quote Log'!$B:$B,"=Purchased",'Quote Log'!$AB:$AB,"&lt;&gt;#VALUE!")</f>
        <v>0</v>
      </c>
      <c r="P159" s="351" t="e">
        <f t="shared" si="67"/>
        <v>#N/A</v>
      </c>
      <c r="Q159" s="349" t="e">
        <f t="shared" si="72"/>
        <v>#DIV/0!</v>
      </c>
      <c r="R159" s="349" t="e">
        <f t="shared" si="68"/>
        <v>#N/A</v>
      </c>
      <c r="S159" s="351">
        <f t="shared" si="71"/>
        <v>0</v>
      </c>
      <c r="T159" s="351" t="e">
        <f t="shared" si="69"/>
        <v>#N/A</v>
      </c>
      <c r="U159" s="349" t="e">
        <f t="shared" si="73"/>
        <v>#DIV/0!</v>
      </c>
      <c r="V159" s="349" t="e">
        <f t="shared" si="70"/>
        <v>#N/A</v>
      </c>
    </row>
    <row r="160" spans="1:22" x14ac:dyDescent="0.25">
      <c r="A160">
        <v>2023</v>
      </c>
      <c r="B160" s="350">
        <v>53</v>
      </c>
      <c r="C160">
        <f>COUNTIFS('Quote Log'!$B:$B,"&lt;&gt;VOID",'Quote Log'!$B:$B,"&lt;&gt;Requoted",'Quote Log'!$C:$C,"&gt;="&amp;DATE(2023,12,31),'Quote Log'!$C:$C,"&lt;="&amp;DATE(2023,12,31))</f>
        <v>0</v>
      </c>
      <c r="D160" t="e">
        <f t="shared" si="62"/>
        <v>#N/A</v>
      </c>
      <c r="E160">
        <f>COUNTIFS('Quote Log'!$B:$B,"&lt;&gt;VOID",'Quote Log'!$B:$B,"&lt;&gt;Requoted",'Quote Log'!$H:$H,"&gt;="&amp;DATE(2023,12,31),'Quote Log'!$H:$H,"&lt;="&amp;DATE(2023,12,31))</f>
        <v>0</v>
      </c>
      <c r="F160" t="e">
        <f t="shared" si="63"/>
        <v>#N/A</v>
      </c>
      <c r="G160">
        <f>COUNTIFS('Quote Log'!$C:$C,"&gt;="&amp;DATE(2023,12,31),'Quote Log'!$C:$C,"&lt;="&amp;DATE(2023,12,31),'Quote Log'!$B:$B,"=Purchased")</f>
        <v>0</v>
      </c>
      <c r="H160" t="e">
        <f t="shared" si="64"/>
        <v>#N/A</v>
      </c>
      <c r="I160" s="339">
        <f t="shared" si="60"/>
        <v>0</v>
      </c>
      <c r="J160" s="339" t="e">
        <f t="shared" si="65"/>
        <v>#N/A</v>
      </c>
      <c r="K160">
        <f>COUNTIFS('Quote Log'!$C:$C,"&gt;="&amp;DATE(2023,12,31),'Quote Log'!$C:$C,"&lt;="&amp;DATE(2023,12,31),'Quote Log'!$B:$B,"=LOST")</f>
        <v>0</v>
      </c>
      <c r="L160">
        <f>COUNTIFS('Quote Log'!$B:$B,"&lt;&gt;VOID",'Quote Log'!$B:$B,"&lt;&gt;Requoted",'Quote Log'!$C:$C,"&gt;="&amp;DATE(2023,12,31),'Quote Log'!$C:$C,"&lt;="&amp;DATE(2023,12,31),'Quote Log'!$V:$V,"=new")</f>
        <v>0</v>
      </c>
      <c r="M160" s="349">
        <f t="shared" si="61"/>
        <v>0</v>
      </c>
      <c r="N160" s="339" t="e">
        <f t="shared" si="66"/>
        <v>#N/A</v>
      </c>
      <c r="O160" s="351">
        <f>SUMIFS('Quote Log'!$AB:$AB,'Quote Log'!$C:$C,"&gt;="&amp;DATE(2023,12,31),'Quote Log'!$C:$C,"&lt;="&amp;DATE(2023,12,31),'Quote Log'!$B:$B,"=Purchased",'Quote Log'!$AB:$AB,"&lt;&gt;#VALUE!")</f>
        <v>0</v>
      </c>
      <c r="P160" s="351" t="e">
        <f t="shared" si="67"/>
        <v>#N/A</v>
      </c>
      <c r="Q160" s="349" t="e">
        <f t="shared" si="72"/>
        <v>#DIV/0!</v>
      </c>
      <c r="R160" s="349" t="e">
        <f t="shared" si="68"/>
        <v>#N/A</v>
      </c>
      <c r="S160" s="351">
        <f t="shared" si="71"/>
        <v>0</v>
      </c>
      <c r="T160" s="351" t="e">
        <f t="shared" si="69"/>
        <v>#N/A</v>
      </c>
      <c r="U160" s="349" t="e">
        <f t="shared" si="73"/>
        <v>#DIV/0!</v>
      </c>
      <c r="V160" s="349" t="e">
        <f t="shared" si="70"/>
        <v>#N/A</v>
      </c>
    </row>
    <row r="161" spans="1:22" x14ac:dyDescent="0.25">
      <c r="A161">
        <v>2024</v>
      </c>
      <c r="B161" s="350">
        <v>1</v>
      </c>
      <c r="C161">
        <f>COUNTIFS('Quote Log'!$B:$B,"&lt;&gt;VOID",'Quote Log'!$B:$B,"&lt;&gt;Requoted",'Quote Log'!$C:$C,"&gt;="&amp;DATE(2024,1,1),'Quote Log'!$C:$C,"&lt;="&amp;DATE(2024,1,6))</f>
        <v>0</v>
      </c>
      <c r="D161">
        <f t="shared" ref="D161:D192" si="74">IF($Z$5,C161,NA())</f>
        <v>0</v>
      </c>
      <c r="E161">
        <f>COUNTIFS('Quote Log'!$B:$B,"&lt;&gt;VOID",'Quote Log'!$B:$B,"&lt;&gt;Requoted",'Quote Log'!$H:$H,"&gt;="&amp;DATE(2024,1,1),'Quote Log'!$H:$H,"&lt;="&amp;DATE(2024,1,6))</f>
        <v>0</v>
      </c>
      <c r="F161">
        <f t="shared" ref="F161:F192" si="75">IF($Z$5,E161,NA())</f>
        <v>0</v>
      </c>
      <c r="G161">
        <f>COUNTIFS('Quote Log'!$C:$C,"&gt;="&amp;DATE(2024,1,1),'Quote Log'!$C:$C,"&lt;="&amp;DATE(2024,1,6),'Quote Log'!$B:$B,"=Purchased")</f>
        <v>0</v>
      </c>
      <c r="H161">
        <f t="shared" ref="H161:H192" si="76">IF(Z$5,G161,NA())</f>
        <v>0</v>
      </c>
      <c r="I161" s="339">
        <f t="shared" si="60"/>
        <v>0</v>
      </c>
      <c r="J161" s="339">
        <f t="shared" ref="J161:J192" si="77">IF($Z$5,I161,NA())</f>
        <v>0</v>
      </c>
      <c r="K161">
        <f>COUNTIFS('Quote Log'!$C:$C,"&gt;="&amp;DATE(2024,1,1),'Quote Log'!$C:$C,"&lt;="&amp;DATE(2024,1,6),'Quote Log'!$B:$B,"=LOST")</f>
        <v>0</v>
      </c>
      <c r="L161">
        <f>COUNTIFS('Quote Log'!$B:$B,"&lt;&gt;VOID",'Quote Log'!$B:$B,"&lt;&gt;Requoted",'Quote Log'!$C:$C,"&gt;="&amp;DATE(2024,1,1),'Quote Log'!$C:$C,"&lt;="&amp;DATE(2024,1,6),'Quote Log'!$V:$V,"=new")</f>
        <v>0</v>
      </c>
      <c r="M161" s="349">
        <f t="shared" si="61"/>
        <v>0</v>
      </c>
      <c r="N161" s="339">
        <f t="shared" ref="N161:N192" si="78">IF($Z$5,M161,NA())</f>
        <v>0</v>
      </c>
      <c r="O161" s="351">
        <f>SUMIFS('Quote Log'!$AB:$AB,'Quote Log'!$C:$C,"&gt;="&amp;DATE(2024,1,1),'Quote Log'!$C:$C,"&lt;="&amp;DATE(2024,1,6),'Quote Log'!$B:$B,"=Purchased",'Quote Log'!$AB:$AB,"&lt;&gt;#VALUE!")</f>
        <v>0</v>
      </c>
      <c r="P161" s="351">
        <f t="shared" ref="P161:P192" si="79">IF($Z$5,O161,NA())</f>
        <v>0</v>
      </c>
      <c r="Q161" s="349" t="e">
        <f t="shared" si="72"/>
        <v>#DIV/0!</v>
      </c>
      <c r="R161" s="349" t="e">
        <f t="shared" ref="R161:R192" si="80">IF($Z$5,Q161,NA())</f>
        <v>#DIV/0!</v>
      </c>
      <c r="S161" s="351">
        <f>O161</f>
        <v>0</v>
      </c>
      <c r="T161" s="351">
        <f t="shared" ref="T161:T192" si="81">IF($Z$5,S161,NA())</f>
        <v>0</v>
      </c>
      <c r="U161" s="349" t="e">
        <f t="shared" si="73"/>
        <v>#DIV/0!</v>
      </c>
      <c r="V161" s="349" t="e">
        <f t="shared" ref="V161:V192" si="82">IF($Z$5,U161,NA())</f>
        <v>#DIV/0!</v>
      </c>
    </row>
    <row r="162" spans="1:22" x14ac:dyDescent="0.25">
      <c r="A162">
        <v>2024</v>
      </c>
      <c r="B162" s="350">
        <v>2</v>
      </c>
      <c r="C162">
        <f>COUNTIFS('Quote Log'!$B:$B,"&lt;&gt;VOID",'Quote Log'!$B:$B,"&lt;&gt;Requoted",'Quote Log'!$C:$C,"&gt;="&amp;DATE(2024,1,7),'Quote Log'!$C:$C,"&lt;="&amp;DATE(2024,1,13))</f>
        <v>0</v>
      </c>
      <c r="D162">
        <f t="shared" si="74"/>
        <v>0</v>
      </c>
      <c r="E162">
        <f>COUNTIFS('Quote Log'!$B:$B,"&lt;&gt;VOID",'Quote Log'!$B:$B,"&lt;&gt;Requoted",'Quote Log'!$H:$H,"&gt;="&amp;DATE(2024,1,7),'Quote Log'!$H:$H,"&lt;="&amp;DATE(2024,1,13))</f>
        <v>0</v>
      </c>
      <c r="F162">
        <f t="shared" si="75"/>
        <v>0</v>
      </c>
      <c r="G162">
        <f>COUNTIFS('Quote Log'!$C:$C,"&gt;="&amp;DATE(2024,1,7),'Quote Log'!$C:$C,"&lt;="&amp;DATE(2024,1,13),'Quote Log'!$B:$B,"=Purchased")</f>
        <v>0</v>
      </c>
      <c r="H162">
        <f t="shared" si="76"/>
        <v>0</v>
      </c>
      <c r="I162" s="339">
        <f t="shared" si="60"/>
        <v>0</v>
      </c>
      <c r="J162" s="339">
        <f t="shared" si="77"/>
        <v>0</v>
      </c>
      <c r="K162">
        <f>COUNTIFS('Quote Log'!$C:$C,"&gt;="&amp;DATE(2024,1,7),'Quote Log'!$C:$C,"&lt;="&amp;DATE(2024,1,13),'Quote Log'!$B:$B,"=LOST")</f>
        <v>0</v>
      </c>
      <c r="L162">
        <f>COUNTIFS('Quote Log'!$B:$B,"&lt;&gt;VOID",'Quote Log'!$B:$B,"&lt;&gt;Requoted",'Quote Log'!$C:$C,"&gt;="&amp;DATE(2024,1,7),'Quote Log'!$C:$C,"&lt;="&amp;DATE(2024,1,13),'Quote Log'!$V:$V,"=new")</f>
        <v>0</v>
      </c>
      <c r="M162" s="349">
        <f t="shared" si="61"/>
        <v>0</v>
      </c>
      <c r="N162" s="339">
        <f t="shared" si="78"/>
        <v>0</v>
      </c>
      <c r="O162" s="351">
        <f>SUMIFS('Quote Log'!$AB:$AB,'Quote Log'!$C:$C,"&gt;="&amp;DATE(2024,1,7),'Quote Log'!$C:$C,"&lt;="&amp;DATE(2024,1,13),'Quote Log'!$B:$B,"=Purchased",'Quote Log'!$AB:$AB,"&lt;&gt;#VALUE!")</f>
        <v>0</v>
      </c>
      <c r="P162" s="351">
        <f t="shared" si="79"/>
        <v>0</v>
      </c>
      <c r="Q162" s="349" t="e">
        <f t="shared" si="72"/>
        <v>#DIV/0!</v>
      </c>
      <c r="R162" s="349" t="e">
        <f t="shared" si="80"/>
        <v>#DIV/0!</v>
      </c>
      <c r="S162" s="351">
        <f t="shared" ref="S162:S193" si="83">O162+S161</f>
        <v>0</v>
      </c>
      <c r="T162" s="351">
        <f t="shared" si="81"/>
        <v>0</v>
      </c>
      <c r="U162" s="349" t="e">
        <f t="shared" si="73"/>
        <v>#DIV/0!</v>
      </c>
      <c r="V162" s="349" t="e">
        <f t="shared" si="82"/>
        <v>#DIV/0!</v>
      </c>
    </row>
    <row r="163" spans="1:22" x14ac:dyDescent="0.25">
      <c r="A163">
        <v>2024</v>
      </c>
      <c r="B163" s="350">
        <v>3</v>
      </c>
      <c r="C163">
        <f>COUNTIFS('Quote Log'!$B:$B,"&lt;&gt;VOID",'Quote Log'!$B:$B,"&lt;&gt;Requoted",'Quote Log'!$C:$C,"&gt;="&amp;DATE(2024,1,14),'Quote Log'!$C:$C,"&lt;="&amp;DATE(2024,1,20))</f>
        <v>0</v>
      </c>
      <c r="D163">
        <f t="shared" si="74"/>
        <v>0</v>
      </c>
      <c r="E163">
        <f>COUNTIFS('Quote Log'!$B:$B,"&lt;&gt;VOID",'Quote Log'!$B:$B,"&lt;&gt;Requoted",'Quote Log'!$H:$H,"&gt;="&amp;DATE(2024,1,14),'Quote Log'!$H:$H,"&lt;="&amp;DATE(2024,1,20))</f>
        <v>0</v>
      </c>
      <c r="F163">
        <f t="shared" si="75"/>
        <v>0</v>
      </c>
      <c r="G163">
        <f>COUNTIFS('Quote Log'!$C:$C,"&gt;="&amp;DATE(2024,1,14),'Quote Log'!$C:$C,"&lt;="&amp;DATE(2024,1,20),'Quote Log'!$B:$B,"=Purchased")</f>
        <v>0</v>
      </c>
      <c r="H163">
        <f t="shared" si="76"/>
        <v>0</v>
      </c>
      <c r="I163" s="339">
        <f t="shared" si="60"/>
        <v>0</v>
      </c>
      <c r="J163" s="339">
        <f t="shared" si="77"/>
        <v>0</v>
      </c>
      <c r="K163">
        <f>COUNTIFS('Quote Log'!$C:$C,"&gt;="&amp;DATE(2024,1,14),'Quote Log'!$C:$C,"&lt;="&amp;DATE(2024,1,20),'Quote Log'!$B:$B,"=LOST")</f>
        <v>0</v>
      </c>
      <c r="L163">
        <f>COUNTIFS('Quote Log'!$B:$B,"&lt;&gt;VOID",'Quote Log'!$B:$B,"&lt;&gt;Requoted",'Quote Log'!$C:$C,"&gt;="&amp;DATE(2024,1,14),'Quote Log'!$C:$C,"&lt;="&amp;DATE(2024,1,20),'Quote Log'!$V:$V,"=new")</f>
        <v>0</v>
      </c>
      <c r="M163" s="349">
        <f t="shared" si="61"/>
        <v>0</v>
      </c>
      <c r="N163" s="339">
        <f t="shared" si="78"/>
        <v>0</v>
      </c>
      <c r="O163" s="351">
        <f>SUMIFS('Quote Log'!$AB:$AB,'Quote Log'!$C:$C,"&gt;="&amp;DATE(2024,1,14),'Quote Log'!$C:$C,"&lt;="&amp;DATE(2024,1,20),'Quote Log'!$B:$B,"=Purchased",'Quote Log'!$AB:$AB,"&lt;&gt;#VALUE!")</f>
        <v>0</v>
      </c>
      <c r="P163" s="351">
        <f t="shared" si="79"/>
        <v>0</v>
      </c>
      <c r="Q163" s="349" t="e">
        <f t="shared" si="72"/>
        <v>#DIV/0!</v>
      </c>
      <c r="R163" s="349" t="e">
        <f t="shared" si="80"/>
        <v>#DIV/0!</v>
      </c>
      <c r="S163" s="351">
        <f t="shared" si="83"/>
        <v>0</v>
      </c>
      <c r="T163" s="351">
        <f t="shared" si="81"/>
        <v>0</v>
      </c>
      <c r="U163" s="349" t="e">
        <f t="shared" si="73"/>
        <v>#DIV/0!</v>
      </c>
      <c r="V163" s="349" t="e">
        <f t="shared" si="82"/>
        <v>#DIV/0!</v>
      </c>
    </row>
    <row r="164" spans="1:22" x14ac:dyDescent="0.25">
      <c r="A164">
        <v>2024</v>
      </c>
      <c r="B164" s="350">
        <v>4</v>
      </c>
      <c r="C164">
        <f>COUNTIFS('Quote Log'!$B:$B,"&lt;&gt;VOID",'Quote Log'!$B:$B,"&lt;&gt;Requoted",'Quote Log'!$C:$C,"&gt;="&amp;DATE(2024,1,21),'Quote Log'!$C:$C,"&lt;="&amp;DATE(2024,1,27))</f>
        <v>0</v>
      </c>
      <c r="D164">
        <f t="shared" si="74"/>
        <v>0</v>
      </c>
      <c r="E164">
        <f>COUNTIFS('Quote Log'!$B:$B,"&lt;&gt;VOID",'Quote Log'!$B:$B,"&lt;&gt;Requoted",'Quote Log'!$H:$H,"&gt;="&amp;DATE(2024,1,21),'Quote Log'!$H:$H,"&lt;="&amp;DATE(2024,1,27))</f>
        <v>0</v>
      </c>
      <c r="F164">
        <f t="shared" si="75"/>
        <v>0</v>
      </c>
      <c r="G164">
        <f>COUNTIFS('Quote Log'!$C:$C,"&gt;="&amp;DATE(2024,1,21),'Quote Log'!$C:$C,"&lt;="&amp;DATE(2024,1,27),'Quote Log'!$B:$B,"=Purchased")</f>
        <v>0</v>
      </c>
      <c r="H164">
        <f t="shared" si="76"/>
        <v>0</v>
      </c>
      <c r="I164" s="339">
        <f t="shared" si="60"/>
        <v>0</v>
      </c>
      <c r="J164" s="339">
        <f t="shared" si="77"/>
        <v>0</v>
      </c>
      <c r="K164">
        <f>COUNTIFS('Quote Log'!$C:$C,"&gt;="&amp;DATE(2024,1,21),'Quote Log'!$C:$C,"&lt;="&amp;DATE(2024,1,27),'Quote Log'!$B:$B,"=LOST")</f>
        <v>0</v>
      </c>
      <c r="L164">
        <f>COUNTIFS('Quote Log'!$B:$B,"&lt;&gt;VOID",'Quote Log'!$B:$B,"&lt;&gt;Requoted",'Quote Log'!$C:$C,"&gt;="&amp;DATE(2024,1,21),'Quote Log'!$C:$C,"&lt;="&amp;DATE(2024,1,27),'Quote Log'!$V:$V,"=new")</f>
        <v>0</v>
      </c>
      <c r="M164" s="349">
        <f t="shared" si="61"/>
        <v>0</v>
      </c>
      <c r="N164" s="339">
        <f t="shared" si="78"/>
        <v>0</v>
      </c>
      <c r="O164" s="351">
        <f>SUMIFS('Quote Log'!$AB:$AB,'Quote Log'!$C:$C,"&gt;="&amp;DATE(2024,1,21),'Quote Log'!$C:$C,"&lt;="&amp;DATE(2024,1,27),'Quote Log'!$B:$B,"=Purchased",'Quote Log'!$AB:$AB,"&lt;&gt;#VALUE!")</f>
        <v>0</v>
      </c>
      <c r="P164" s="351">
        <f t="shared" si="79"/>
        <v>0</v>
      </c>
      <c r="Q164" s="349" t="e">
        <f t="shared" si="72"/>
        <v>#DIV/0!</v>
      </c>
      <c r="R164" s="349" t="e">
        <f t="shared" si="80"/>
        <v>#DIV/0!</v>
      </c>
      <c r="S164" s="351">
        <f t="shared" si="83"/>
        <v>0</v>
      </c>
      <c r="T164" s="351">
        <f t="shared" si="81"/>
        <v>0</v>
      </c>
      <c r="U164" s="349" t="e">
        <f t="shared" si="73"/>
        <v>#DIV/0!</v>
      </c>
      <c r="V164" s="349" t="e">
        <f t="shared" si="82"/>
        <v>#DIV/0!</v>
      </c>
    </row>
    <row r="165" spans="1:22" x14ac:dyDescent="0.25">
      <c r="A165">
        <v>2024</v>
      </c>
      <c r="B165" s="350">
        <v>5</v>
      </c>
      <c r="C165">
        <f>COUNTIFS('Quote Log'!$B:$B,"&lt;&gt;VOID",'Quote Log'!$B:$B,"&lt;&gt;Requoted",'Quote Log'!$C:$C,"&gt;="&amp;DATE(2024,1,28),'Quote Log'!$C:$C,"&lt;="&amp;DATE(2024,2,3))</f>
        <v>0</v>
      </c>
      <c r="D165">
        <f t="shared" si="74"/>
        <v>0</v>
      </c>
      <c r="E165">
        <f>COUNTIFS('Quote Log'!$B:$B,"&lt;&gt;VOID",'Quote Log'!$B:$B,"&lt;&gt;Requoted",'Quote Log'!$H:$H,"&gt;="&amp;DATE(2024,1,28),'Quote Log'!$H:$H,"&lt;="&amp;DATE(2024,2,3))</f>
        <v>0</v>
      </c>
      <c r="F165">
        <f t="shared" si="75"/>
        <v>0</v>
      </c>
      <c r="G165">
        <f>COUNTIFS('Quote Log'!$C:$C,"&gt;="&amp;DATE(2024,1,28),'Quote Log'!$C:$C,"&lt;="&amp;DATE(2024,2,3),'Quote Log'!$B:$B,"=Purchased")</f>
        <v>0</v>
      </c>
      <c r="H165">
        <f t="shared" si="76"/>
        <v>0</v>
      </c>
      <c r="I165" s="339">
        <f t="shared" si="60"/>
        <v>0</v>
      </c>
      <c r="J165" s="339">
        <f t="shared" si="77"/>
        <v>0</v>
      </c>
      <c r="K165">
        <f>COUNTIFS('Quote Log'!$C:$C,"&gt;="&amp;DATE(2024,1,28),'Quote Log'!$C:$C,"&lt;="&amp;DATE(2024,2,3),'Quote Log'!$B:$B,"=LOST")</f>
        <v>0</v>
      </c>
      <c r="L165">
        <f>COUNTIFS('Quote Log'!$B:$B,"&lt;&gt;VOID",'Quote Log'!$B:$B,"&lt;&gt;Requoted",'Quote Log'!$C:$C,"&gt;="&amp;DATE(2024,1,28),'Quote Log'!$C:$C,"&lt;="&amp;DATE(2024,2,3),'Quote Log'!$V:$V,"=new")</f>
        <v>0</v>
      </c>
      <c r="M165" s="349">
        <f t="shared" si="61"/>
        <v>0</v>
      </c>
      <c r="N165" s="339">
        <f t="shared" si="78"/>
        <v>0</v>
      </c>
      <c r="O165" s="351">
        <f>SUMIFS('Quote Log'!$AB:$AB,'Quote Log'!$C:$C,"&gt;="&amp;DATE(2024,1,28),'Quote Log'!$C:$C,"&lt;="&amp;DATE(2024,2,3),'Quote Log'!$B:$B,"=Purchased",'Quote Log'!$AB:$AB,"&lt;&gt;#VALUE!")</f>
        <v>0</v>
      </c>
      <c r="P165" s="351">
        <f t="shared" si="79"/>
        <v>0</v>
      </c>
      <c r="Q165" s="349" t="e">
        <f t="shared" si="72"/>
        <v>#DIV/0!</v>
      </c>
      <c r="R165" s="349" t="e">
        <f t="shared" si="80"/>
        <v>#DIV/0!</v>
      </c>
      <c r="S165" s="351">
        <f t="shared" si="83"/>
        <v>0</v>
      </c>
      <c r="T165" s="351">
        <f t="shared" si="81"/>
        <v>0</v>
      </c>
      <c r="U165" s="349" t="e">
        <f t="shared" si="73"/>
        <v>#DIV/0!</v>
      </c>
      <c r="V165" s="349" t="e">
        <f t="shared" si="82"/>
        <v>#DIV/0!</v>
      </c>
    </row>
    <row r="166" spans="1:22" x14ac:dyDescent="0.25">
      <c r="A166">
        <v>2024</v>
      </c>
      <c r="B166" s="350">
        <v>6</v>
      </c>
      <c r="C166">
        <f>COUNTIFS('Quote Log'!$B:$B,"&lt;&gt;VOID",'Quote Log'!$B:$B,"&lt;&gt;Requoted",'Quote Log'!$C:$C,"&gt;="&amp;DATE(2024,2,4),'Quote Log'!$C:$C,"&lt;="&amp;DATE(2024,2,10))</f>
        <v>0</v>
      </c>
      <c r="D166">
        <f t="shared" si="74"/>
        <v>0</v>
      </c>
      <c r="E166">
        <f>COUNTIFS('Quote Log'!$B:$B,"&lt;&gt;VOID",'Quote Log'!$B:$B,"&lt;&gt;Requoted",'Quote Log'!$H:$H,"&gt;="&amp;DATE(2024,2,4),'Quote Log'!$H:$H,"&lt;="&amp;DATE(2024,2,10))</f>
        <v>0</v>
      </c>
      <c r="F166">
        <f t="shared" si="75"/>
        <v>0</v>
      </c>
      <c r="G166">
        <f>COUNTIFS('Quote Log'!$C:$C,"&gt;="&amp;DATE(2024,2,4),'Quote Log'!$C:$C,"&lt;="&amp;DATE(2024,2,10),'Quote Log'!$B:$B,"=Purchased")</f>
        <v>0</v>
      </c>
      <c r="H166">
        <f t="shared" si="76"/>
        <v>0</v>
      </c>
      <c r="I166" s="339">
        <f t="shared" si="60"/>
        <v>0</v>
      </c>
      <c r="J166" s="339">
        <f t="shared" si="77"/>
        <v>0</v>
      </c>
      <c r="K166">
        <f>COUNTIFS('Quote Log'!$C:$C,"&gt;="&amp;DATE(2024,2,4),'Quote Log'!$C:$C,"&lt;="&amp;DATE(2024,2,10),'Quote Log'!$B:$B,"=LOST")</f>
        <v>0</v>
      </c>
      <c r="L166">
        <f>COUNTIFS('Quote Log'!$B:$B,"&lt;&gt;VOID",'Quote Log'!$B:$B,"&lt;&gt;Requoted",'Quote Log'!$C:$C,"&gt;="&amp;DATE(2024,2,4),'Quote Log'!$C:$C,"&lt;="&amp;DATE(2024,2,10),'Quote Log'!$V:$V,"=new")</f>
        <v>0</v>
      </c>
      <c r="M166" s="349">
        <f t="shared" si="61"/>
        <v>0</v>
      </c>
      <c r="N166" s="339">
        <f t="shared" si="78"/>
        <v>0</v>
      </c>
      <c r="O166" s="351">
        <f>SUMIFS('Quote Log'!$AB:$AB,'Quote Log'!$C:$C,"&gt;="&amp;DATE(2024,2,4),'Quote Log'!$C:$C,"&lt;="&amp;DATE(2024,2,10),'Quote Log'!$B:$B,"=Purchased",'Quote Log'!$AB:$AB,"&lt;&gt;#VALUE!")</f>
        <v>0</v>
      </c>
      <c r="P166" s="351">
        <f t="shared" si="79"/>
        <v>0</v>
      </c>
      <c r="Q166" s="349" t="e">
        <f t="shared" si="72"/>
        <v>#DIV/0!</v>
      </c>
      <c r="R166" s="349" t="e">
        <f t="shared" si="80"/>
        <v>#DIV/0!</v>
      </c>
      <c r="S166" s="351">
        <f t="shared" si="83"/>
        <v>0</v>
      </c>
      <c r="T166" s="351">
        <f t="shared" si="81"/>
        <v>0</v>
      </c>
      <c r="U166" s="349" t="e">
        <f t="shared" si="73"/>
        <v>#DIV/0!</v>
      </c>
      <c r="V166" s="349" t="e">
        <f t="shared" si="82"/>
        <v>#DIV/0!</v>
      </c>
    </row>
    <row r="167" spans="1:22" x14ac:dyDescent="0.25">
      <c r="A167">
        <v>2024</v>
      </c>
      <c r="B167" s="350">
        <v>7</v>
      </c>
      <c r="C167">
        <f>COUNTIFS('Quote Log'!$B:$B,"&lt;&gt;VOID",'Quote Log'!$B:$B,"&lt;&gt;Requoted",'Quote Log'!$C:$C,"&gt;="&amp;DATE(2024,2,11),'Quote Log'!$C:$C,"&lt;="&amp;DATE(2024,2,17))</f>
        <v>0</v>
      </c>
      <c r="D167">
        <f t="shared" si="74"/>
        <v>0</v>
      </c>
      <c r="E167">
        <f>COUNTIFS('Quote Log'!$B:$B,"&lt;&gt;VOID",'Quote Log'!$B:$B,"&lt;&gt;Requoted",'Quote Log'!$H:$H,"&gt;="&amp;DATE(2024,2,11),'Quote Log'!$H:$H,"&lt;="&amp;DATE(2024,2,17))</f>
        <v>0</v>
      </c>
      <c r="F167">
        <f t="shared" si="75"/>
        <v>0</v>
      </c>
      <c r="G167">
        <f>COUNTIFS('Quote Log'!$C:$C,"&gt;="&amp;DATE(2024,2,11),'Quote Log'!$C:$C,"&lt;="&amp;DATE(2024,2,17),'Quote Log'!$B:$B,"=Purchased")</f>
        <v>0</v>
      </c>
      <c r="H167">
        <f t="shared" si="76"/>
        <v>0</v>
      </c>
      <c r="I167" s="339">
        <f t="shared" si="60"/>
        <v>0</v>
      </c>
      <c r="J167" s="339">
        <f t="shared" si="77"/>
        <v>0</v>
      </c>
      <c r="K167">
        <f>COUNTIFS('Quote Log'!$C:$C,"&gt;="&amp;DATE(2024,2,11),'Quote Log'!$C:$C,"&lt;="&amp;DATE(2024,2,17),'Quote Log'!$B:$B,"=LOST")</f>
        <v>0</v>
      </c>
      <c r="L167">
        <f>COUNTIFS('Quote Log'!$B:$B,"&lt;&gt;VOID",'Quote Log'!$B:$B,"&lt;&gt;Requoted",'Quote Log'!$C:$C,"&gt;="&amp;DATE(2024,2,11),'Quote Log'!$C:$C,"&lt;="&amp;DATE(2024,2,17),'Quote Log'!$V:$V,"=new")</f>
        <v>0</v>
      </c>
      <c r="M167" s="349">
        <f t="shared" si="61"/>
        <v>0</v>
      </c>
      <c r="N167" s="339">
        <f t="shared" si="78"/>
        <v>0</v>
      </c>
      <c r="O167" s="351">
        <f>SUMIFS('Quote Log'!$AB:$AB,'Quote Log'!$C:$C,"&gt;="&amp;DATE(2024,2,11),'Quote Log'!$C:$C,"&lt;="&amp;DATE(2024,2,17),'Quote Log'!$B:$B,"=Purchased",'Quote Log'!$AB:$AB,"&lt;&gt;#VALUE!")</f>
        <v>0</v>
      </c>
      <c r="P167" s="351">
        <f t="shared" si="79"/>
        <v>0</v>
      </c>
      <c r="Q167" s="349" t="e">
        <f t="shared" si="72"/>
        <v>#DIV/0!</v>
      </c>
      <c r="R167" s="349" t="e">
        <f t="shared" si="80"/>
        <v>#DIV/0!</v>
      </c>
      <c r="S167" s="351">
        <f t="shared" si="83"/>
        <v>0</v>
      </c>
      <c r="T167" s="351">
        <f t="shared" si="81"/>
        <v>0</v>
      </c>
      <c r="U167" s="349" t="e">
        <f t="shared" si="73"/>
        <v>#DIV/0!</v>
      </c>
      <c r="V167" s="349" t="e">
        <f t="shared" si="82"/>
        <v>#DIV/0!</v>
      </c>
    </row>
    <row r="168" spans="1:22" x14ac:dyDescent="0.25">
      <c r="A168">
        <v>2024</v>
      </c>
      <c r="B168" s="350">
        <v>8</v>
      </c>
      <c r="C168">
        <f>COUNTIFS('Quote Log'!$B:$B,"&lt;&gt;VOID",'Quote Log'!$B:$B,"&lt;&gt;Requoted",'Quote Log'!$C:$C,"&gt;="&amp;DATE(2024,2,18),'Quote Log'!$C:$C,"&lt;="&amp;DATE(2024,2,24))</f>
        <v>0</v>
      </c>
      <c r="D168">
        <f t="shared" si="74"/>
        <v>0</v>
      </c>
      <c r="E168">
        <f>COUNTIFS('Quote Log'!$B:$B,"&lt;&gt;VOID",'Quote Log'!$B:$B,"&lt;&gt;Requoted",'Quote Log'!$H:$H,"&gt;="&amp;DATE(2024,2,18),'Quote Log'!$H:$H,"&lt;="&amp;DATE(2024,2,24))</f>
        <v>0</v>
      </c>
      <c r="F168">
        <f t="shared" si="75"/>
        <v>0</v>
      </c>
      <c r="G168">
        <f>COUNTIFS('Quote Log'!$C:$C,"&gt;="&amp;DATE(2024,2,18),'Quote Log'!$C:$C,"&lt;="&amp;DATE(2024,2,24),'Quote Log'!$B:$B,"=Purchased")</f>
        <v>0</v>
      </c>
      <c r="H168">
        <f t="shared" si="76"/>
        <v>0</v>
      </c>
      <c r="I168" s="339">
        <f t="shared" si="60"/>
        <v>0</v>
      </c>
      <c r="J168" s="339">
        <f t="shared" si="77"/>
        <v>0</v>
      </c>
      <c r="K168">
        <f>COUNTIFS('Quote Log'!$C:$C,"&gt;="&amp;DATE(2024,2,18),'Quote Log'!$C:$C,"&lt;="&amp;DATE(2024,2,24),'Quote Log'!$B:$B,"=LOST")</f>
        <v>0</v>
      </c>
      <c r="L168">
        <f>COUNTIFS('Quote Log'!$B:$B,"&lt;&gt;VOID",'Quote Log'!$B:$B,"&lt;&gt;Requoted",'Quote Log'!$C:$C,"&gt;="&amp;DATE(2024,2,18),'Quote Log'!$C:$C,"&lt;="&amp;DATE(2024,2,24),'Quote Log'!$V:$V,"=new")</f>
        <v>0</v>
      </c>
      <c r="M168" s="349">
        <f t="shared" si="61"/>
        <v>0</v>
      </c>
      <c r="N168" s="339">
        <f t="shared" si="78"/>
        <v>0</v>
      </c>
      <c r="O168" s="351">
        <f>SUMIFS('Quote Log'!$AB:$AB,'Quote Log'!$C:$C,"&gt;="&amp;DATE(2024,2,18),'Quote Log'!$C:$C,"&lt;="&amp;DATE(2024,2,24),'Quote Log'!$B:$B,"=Purchased",'Quote Log'!$AB:$AB,"&lt;&gt;#VALUE!")</f>
        <v>0</v>
      </c>
      <c r="P168" s="351">
        <f t="shared" si="79"/>
        <v>0</v>
      </c>
      <c r="Q168" s="349" t="e">
        <f t="shared" si="72"/>
        <v>#DIV/0!</v>
      </c>
      <c r="R168" s="349" t="e">
        <f t="shared" si="80"/>
        <v>#DIV/0!</v>
      </c>
      <c r="S168" s="351">
        <f t="shared" si="83"/>
        <v>0</v>
      </c>
      <c r="T168" s="351">
        <f t="shared" si="81"/>
        <v>0</v>
      </c>
      <c r="U168" s="349" t="e">
        <f t="shared" si="73"/>
        <v>#DIV/0!</v>
      </c>
      <c r="V168" s="349" t="e">
        <f t="shared" si="82"/>
        <v>#DIV/0!</v>
      </c>
    </row>
    <row r="169" spans="1:22" x14ac:dyDescent="0.25">
      <c r="A169">
        <v>2024</v>
      </c>
      <c r="B169" s="350">
        <v>9</v>
      </c>
      <c r="C169">
        <f>COUNTIFS('Quote Log'!$B:$B,"&lt;&gt;VOID",'Quote Log'!$B:$B,"&lt;&gt;Requoted",'Quote Log'!$C:$C,"&gt;="&amp;DATE(2024,2,25),'Quote Log'!$C:$C,"&lt;="&amp;DATE(2024,3,2))</f>
        <v>0</v>
      </c>
      <c r="D169">
        <f t="shared" si="74"/>
        <v>0</v>
      </c>
      <c r="E169">
        <f>COUNTIFS('Quote Log'!$B:$B,"&lt;&gt;VOID",'Quote Log'!$B:$B,"&lt;&gt;Requoted",'Quote Log'!$H:$H,"&gt;="&amp;DATE(2024,2,25),'Quote Log'!$H:$H,"&lt;="&amp;DATE(2024,3,2))</f>
        <v>0</v>
      </c>
      <c r="F169">
        <f t="shared" si="75"/>
        <v>0</v>
      </c>
      <c r="G169">
        <f>COUNTIFS('Quote Log'!$C:$C,"&gt;="&amp;DATE(2024,2,25),'Quote Log'!$C:$C,"&lt;="&amp;DATE(2024,3,2),'Quote Log'!$B:$B,"=Purchased")</f>
        <v>0</v>
      </c>
      <c r="H169">
        <f t="shared" si="76"/>
        <v>0</v>
      </c>
      <c r="I169" s="339">
        <f t="shared" si="60"/>
        <v>0</v>
      </c>
      <c r="J169" s="339">
        <f t="shared" si="77"/>
        <v>0</v>
      </c>
      <c r="K169">
        <f>COUNTIFS('Quote Log'!$C:$C,"&gt;="&amp;DATE(2024,2,25),'Quote Log'!$C:$C,"&lt;="&amp;DATE(2024,3,2),'Quote Log'!$B:$B,"=LOST")</f>
        <v>0</v>
      </c>
      <c r="L169">
        <f>COUNTIFS('Quote Log'!$B:$B,"&lt;&gt;VOID",'Quote Log'!$B:$B,"&lt;&gt;Requoted",'Quote Log'!$C:$C,"&gt;="&amp;DATE(2024,2,25),'Quote Log'!$C:$C,"&lt;="&amp;DATE(2024,3,2),'Quote Log'!$V:$V,"=new")</f>
        <v>0</v>
      </c>
      <c r="M169" s="349">
        <f t="shared" si="61"/>
        <v>0</v>
      </c>
      <c r="N169" s="339">
        <f t="shared" si="78"/>
        <v>0</v>
      </c>
      <c r="O169" s="351">
        <f>SUMIFS('Quote Log'!$AB:$AB,'Quote Log'!$C:$C,"&gt;="&amp;DATE(2024,2,25),'Quote Log'!$C:$C,"&lt;="&amp;DATE(2024,3,2),'Quote Log'!$B:$B,"=Purchased",'Quote Log'!$AB:$AB,"&lt;&gt;#VALUE!")</f>
        <v>0</v>
      </c>
      <c r="P169" s="351">
        <f t="shared" si="79"/>
        <v>0</v>
      </c>
      <c r="Q169" s="349" t="e">
        <f t="shared" si="72"/>
        <v>#DIV/0!</v>
      </c>
      <c r="R169" s="349" t="e">
        <f t="shared" si="80"/>
        <v>#DIV/0!</v>
      </c>
      <c r="S169" s="351">
        <f t="shared" si="83"/>
        <v>0</v>
      </c>
      <c r="T169" s="351">
        <f t="shared" si="81"/>
        <v>0</v>
      </c>
      <c r="U169" s="349" t="e">
        <f t="shared" si="73"/>
        <v>#DIV/0!</v>
      </c>
      <c r="V169" s="349" t="e">
        <f t="shared" si="82"/>
        <v>#DIV/0!</v>
      </c>
    </row>
    <row r="170" spans="1:22" x14ac:dyDescent="0.25">
      <c r="A170">
        <v>2024</v>
      </c>
      <c r="B170" s="350">
        <v>10</v>
      </c>
      <c r="C170">
        <f>COUNTIFS('Quote Log'!$B:$B,"&lt;&gt;VOID",'Quote Log'!$B:$B,"&lt;&gt;Requoted",'Quote Log'!$C:$C,"&gt;="&amp;DATE(2024,3,3),'Quote Log'!$C:$C,"&lt;="&amp;DATE(2024,3,9))</f>
        <v>0</v>
      </c>
      <c r="D170">
        <f t="shared" si="74"/>
        <v>0</v>
      </c>
      <c r="E170">
        <f>COUNTIFS('Quote Log'!$B:$B,"&lt;&gt;VOID",'Quote Log'!$B:$B,"&lt;&gt;Requoted",'Quote Log'!$H:$H,"&gt;="&amp;DATE(2024,3,3),'Quote Log'!$H:$H,"&lt;="&amp;DATE(2024,3,9))</f>
        <v>0</v>
      </c>
      <c r="F170">
        <f t="shared" si="75"/>
        <v>0</v>
      </c>
      <c r="G170">
        <f>COUNTIFS('Quote Log'!$C:$C,"&gt;="&amp;DATE(2024,3,3),'Quote Log'!$C:$C,"&lt;="&amp;DATE(2024,3,9),'Quote Log'!$B:$B,"=Purchased")</f>
        <v>0</v>
      </c>
      <c r="H170">
        <f t="shared" si="76"/>
        <v>0</v>
      </c>
      <c r="I170" s="339">
        <f t="shared" si="60"/>
        <v>0</v>
      </c>
      <c r="J170" s="339">
        <f t="shared" si="77"/>
        <v>0</v>
      </c>
      <c r="K170">
        <f>COUNTIFS('Quote Log'!$C:$C,"&gt;="&amp;DATE(2024,3,3),'Quote Log'!$C:$C,"&lt;="&amp;DATE(2024,3,9),'Quote Log'!$B:$B,"=LOST")</f>
        <v>0</v>
      </c>
      <c r="L170">
        <f>COUNTIFS('Quote Log'!$B:$B,"&lt;&gt;VOID",'Quote Log'!$B:$B,"&lt;&gt;Requoted",'Quote Log'!$C:$C,"&gt;="&amp;DATE(2024,3,3),'Quote Log'!$C:$C,"&lt;="&amp;DATE(2024,3,9),'Quote Log'!$V:$V,"=new")</f>
        <v>0</v>
      </c>
      <c r="M170" s="349">
        <f t="shared" si="61"/>
        <v>0</v>
      </c>
      <c r="N170" s="339">
        <f t="shared" si="78"/>
        <v>0</v>
      </c>
      <c r="O170" s="351">
        <f>SUMIFS('Quote Log'!$AB:$AB,'Quote Log'!$C:$C,"&gt;="&amp;DATE(2024,3,3),'Quote Log'!$C:$C,"&lt;="&amp;DATE(2024,3,9),'Quote Log'!$B:$B,"=Purchased",'Quote Log'!$AB:$AB,"&lt;&gt;#VALUE!")</f>
        <v>0</v>
      </c>
      <c r="P170" s="351">
        <f t="shared" si="79"/>
        <v>0</v>
      </c>
      <c r="Q170" s="349" t="e">
        <f t="shared" si="72"/>
        <v>#DIV/0!</v>
      </c>
      <c r="R170" s="349" t="e">
        <f t="shared" si="80"/>
        <v>#DIV/0!</v>
      </c>
      <c r="S170" s="351">
        <f t="shared" si="83"/>
        <v>0</v>
      </c>
      <c r="T170" s="351">
        <f t="shared" si="81"/>
        <v>0</v>
      </c>
      <c r="U170" s="349" t="e">
        <f t="shared" si="73"/>
        <v>#DIV/0!</v>
      </c>
      <c r="V170" s="349" t="e">
        <f t="shared" si="82"/>
        <v>#DIV/0!</v>
      </c>
    </row>
    <row r="171" spans="1:22" x14ac:dyDescent="0.25">
      <c r="A171">
        <v>2024</v>
      </c>
      <c r="B171" s="350">
        <v>11</v>
      </c>
      <c r="C171">
        <f>COUNTIFS('Quote Log'!$B:$B,"&lt;&gt;VOID",'Quote Log'!$B:$B,"&lt;&gt;Requoted",'Quote Log'!$C:$C,"&gt;="&amp;DATE(2024,3,10),'Quote Log'!$C:$C,"&lt;="&amp;DATE(2024,3,16))</f>
        <v>0</v>
      </c>
      <c r="D171">
        <f t="shared" si="74"/>
        <v>0</v>
      </c>
      <c r="E171">
        <f>COUNTIFS('Quote Log'!$B:$B,"&lt;&gt;VOID",'Quote Log'!$B:$B,"&lt;&gt;Requoted",'Quote Log'!$H:$H,"&gt;="&amp;DATE(2024,3,10),'Quote Log'!$H:$H,"&lt;="&amp;DATE(2024,3,16))</f>
        <v>0</v>
      </c>
      <c r="F171">
        <f t="shared" si="75"/>
        <v>0</v>
      </c>
      <c r="G171">
        <f>COUNTIFS('Quote Log'!$C:$C,"&gt;="&amp;DATE(2024,3,10),'Quote Log'!$C:$C,"&lt;="&amp;DATE(2024,3,16),'Quote Log'!$B:$B,"=Purchased")</f>
        <v>0</v>
      </c>
      <c r="H171">
        <f t="shared" si="76"/>
        <v>0</v>
      </c>
      <c r="I171" s="339">
        <f t="shared" si="60"/>
        <v>0</v>
      </c>
      <c r="J171" s="339">
        <f t="shared" si="77"/>
        <v>0</v>
      </c>
      <c r="K171">
        <f>COUNTIFS('Quote Log'!$C:$C,"&gt;="&amp;DATE(2024,3,10),'Quote Log'!$C:$C,"&lt;="&amp;DATE(2024,3,16),'Quote Log'!$B:$B,"=LOST")</f>
        <v>0</v>
      </c>
      <c r="L171">
        <f>COUNTIFS('Quote Log'!$B:$B,"&lt;&gt;VOID",'Quote Log'!$B:$B,"&lt;&gt;Requoted",'Quote Log'!$C:$C,"&gt;="&amp;DATE(2024,3,10),'Quote Log'!$C:$C,"&lt;="&amp;DATE(2024,3,16),'Quote Log'!$V:$V,"=new")</f>
        <v>0</v>
      </c>
      <c r="M171" s="349">
        <f t="shared" si="61"/>
        <v>0</v>
      </c>
      <c r="N171" s="339">
        <f t="shared" si="78"/>
        <v>0</v>
      </c>
      <c r="O171" s="351">
        <f>SUMIFS('Quote Log'!$AB:$AB,'Quote Log'!$C:$C,"&gt;="&amp;DATE(2024,3,10),'Quote Log'!$C:$C,"&lt;="&amp;DATE(2024,3,16),'Quote Log'!$B:$B,"=Purchased",'Quote Log'!$AB:$AB,"&lt;&gt;#VALUE!")</f>
        <v>0</v>
      </c>
      <c r="P171" s="351">
        <f t="shared" si="79"/>
        <v>0</v>
      </c>
      <c r="Q171" s="349" t="e">
        <f t="shared" si="72"/>
        <v>#DIV/0!</v>
      </c>
      <c r="R171" s="349" t="e">
        <f t="shared" si="80"/>
        <v>#DIV/0!</v>
      </c>
      <c r="S171" s="351">
        <f t="shared" si="83"/>
        <v>0</v>
      </c>
      <c r="T171" s="351">
        <f t="shared" si="81"/>
        <v>0</v>
      </c>
      <c r="U171" s="349" t="e">
        <f t="shared" si="73"/>
        <v>#DIV/0!</v>
      </c>
      <c r="V171" s="349" t="e">
        <f t="shared" si="82"/>
        <v>#DIV/0!</v>
      </c>
    </row>
    <row r="172" spans="1:22" x14ac:dyDescent="0.25">
      <c r="A172">
        <v>2024</v>
      </c>
      <c r="B172" s="350">
        <v>12</v>
      </c>
      <c r="C172">
        <f>COUNTIFS('Quote Log'!$B:$B,"&lt;&gt;VOID",'Quote Log'!$B:$B,"&lt;&gt;Requoted",'Quote Log'!$C:$C,"&gt;="&amp;DATE(2024,3,17),'Quote Log'!$C:$C,"&lt;="&amp;DATE(2024,3,23))</f>
        <v>0</v>
      </c>
      <c r="D172">
        <f t="shared" si="74"/>
        <v>0</v>
      </c>
      <c r="E172">
        <f>COUNTIFS('Quote Log'!$B:$B,"&lt;&gt;VOID",'Quote Log'!$B:$B,"&lt;&gt;Requoted",'Quote Log'!$H:$H,"&gt;="&amp;DATE(2024,3,17),'Quote Log'!$H:$H,"&lt;="&amp;DATE(2024,3,23))</f>
        <v>0</v>
      </c>
      <c r="F172">
        <f t="shared" si="75"/>
        <v>0</v>
      </c>
      <c r="G172">
        <f>COUNTIFS('Quote Log'!$C:$C,"&gt;="&amp;DATE(2024,3,17),'Quote Log'!$C:$C,"&lt;="&amp;DATE(2024,3,23),'Quote Log'!$B:$B,"=Purchased")</f>
        <v>0</v>
      </c>
      <c r="H172">
        <f t="shared" si="76"/>
        <v>0</v>
      </c>
      <c r="I172" s="339">
        <f t="shared" si="60"/>
        <v>0</v>
      </c>
      <c r="J172" s="339">
        <f t="shared" si="77"/>
        <v>0</v>
      </c>
      <c r="K172">
        <f>COUNTIFS('Quote Log'!$C:$C,"&gt;="&amp;DATE(2024,3,17),'Quote Log'!$C:$C,"&lt;="&amp;DATE(2024,3,23),'Quote Log'!$B:$B,"=LOST")</f>
        <v>0</v>
      </c>
      <c r="L172">
        <f>COUNTIFS('Quote Log'!$B:$B,"&lt;&gt;VOID",'Quote Log'!$B:$B,"&lt;&gt;Requoted",'Quote Log'!$C:$C,"&gt;="&amp;DATE(2024,3,17),'Quote Log'!$C:$C,"&lt;="&amp;DATE(2024,3,23),'Quote Log'!$V:$V,"=new")</f>
        <v>0</v>
      </c>
      <c r="M172" s="349">
        <f t="shared" si="61"/>
        <v>0</v>
      </c>
      <c r="N172" s="339">
        <f t="shared" si="78"/>
        <v>0</v>
      </c>
      <c r="O172" s="351">
        <f>SUMIFS('Quote Log'!$AB:$AB,'Quote Log'!$C:$C,"&gt;="&amp;DATE(2024,3,17),'Quote Log'!$C:$C,"&lt;="&amp;DATE(2024,3,23),'Quote Log'!$B:$B,"=Purchased",'Quote Log'!$AB:$AB,"&lt;&gt;#VALUE!")</f>
        <v>0</v>
      </c>
      <c r="P172" s="351">
        <f t="shared" si="79"/>
        <v>0</v>
      </c>
      <c r="Q172" s="349" t="e">
        <f t="shared" si="72"/>
        <v>#DIV/0!</v>
      </c>
      <c r="R172" s="349" t="e">
        <f t="shared" si="80"/>
        <v>#DIV/0!</v>
      </c>
      <c r="S172" s="351">
        <f t="shared" si="83"/>
        <v>0</v>
      </c>
      <c r="T172" s="351">
        <f t="shared" si="81"/>
        <v>0</v>
      </c>
      <c r="U172" s="349" t="e">
        <f t="shared" si="73"/>
        <v>#DIV/0!</v>
      </c>
      <c r="V172" s="349" t="e">
        <f t="shared" si="82"/>
        <v>#DIV/0!</v>
      </c>
    </row>
    <row r="173" spans="1:22" x14ac:dyDescent="0.25">
      <c r="A173">
        <v>2024</v>
      </c>
      <c r="B173" s="350">
        <v>13</v>
      </c>
      <c r="C173">
        <f>COUNTIFS('Quote Log'!$B:$B,"&lt;&gt;VOID",'Quote Log'!$B:$B,"&lt;&gt;Requoted",'Quote Log'!$C:$C,"&gt;="&amp;DATE(2024,3,24),'Quote Log'!$C:$C,"&lt;="&amp;DATE(2024,3,30))</f>
        <v>0</v>
      </c>
      <c r="D173">
        <f t="shared" si="74"/>
        <v>0</v>
      </c>
      <c r="E173">
        <f>COUNTIFS('Quote Log'!$B:$B,"&lt;&gt;VOID",'Quote Log'!$B:$B,"&lt;&gt;Requoted",'Quote Log'!$H:$H,"&gt;="&amp;DATE(2024,3,24),'Quote Log'!$H:$H,"&lt;="&amp;DATE(2024,3,30))</f>
        <v>0</v>
      </c>
      <c r="F173">
        <f t="shared" si="75"/>
        <v>0</v>
      </c>
      <c r="G173">
        <f>COUNTIFS('Quote Log'!$C:$C,"&gt;="&amp;DATE(2024,3,24),'Quote Log'!$C:$C,"&lt;="&amp;DATE(2024,3,30),'Quote Log'!$B:$B,"=Purchased")</f>
        <v>0</v>
      </c>
      <c r="H173">
        <f t="shared" si="76"/>
        <v>0</v>
      </c>
      <c r="I173" s="339">
        <f t="shared" si="60"/>
        <v>0</v>
      </c>
      <c r="J173" s="339">
        <f t="shared" si="77"/>
        <v>0</v>
      </c>
      <c r="K173">
        <f>COUNTIFS('Quote Log'!$C:$C,"&gt;="&amp;DATE(2024,3,24),'Quote Log'!$C:$C,"&lt;="&amp;DATE(2024,3,30),'Quote Log'!$B:$B,"=LOST")</f>
        <v>0</v>
      </c>
      <c r="L173">
        <f>COUNTIFS('Quote Log'!$B:$B,"&lt;&gt;VOID",'Quote Log'!$B:$B,"&lt;&gt;Requoted",'Quote Log'!$C:$C,"&gt;="&amp;DATE(2024,3,24),'Quote Log'!$C:$C,"&lt;="&amp;DATE(2024,3,30),'Quote Log'!$V:$V,"=new")</f>
        <v>0</v>
      </c>
      <c r="M173" s="349">
        <f t="shared" si="61"/>
        <v>0</v>
      </c>
      <c r="N173" s="339">
        <f t="shared" si="78"/>
        <v>0</v>
      </c>
      <c r="O173" s="351">
        <f>SUMIFS('Quote Log'!$AB:$AB,'Quote Log'!$C:$C,"&gt;="&amp;DATE(2024,3,24),'Quote Log'!$C:$C,"&lt;="&amp;DATE(2024,3,30),'Quote Log'!$B:$B,"=Purchased",'Quote Log'!$AB:$AB,"&lt;&gt;#VALUE!")</f>
        <v>0</v>
      </c>
      <c r="P173" s="351">
        <f t="shared" si="79"/>
        <v>0</v>
      </c>
      <c r="Q173" s="349" t="e">
        <f t="shared" si="72"/>
        <v>#DIV/0!</v>
      </c>
      <c r="R173" s="349" t="e">
        <f t="shared" si="80"/>
        <v>#DIV/0!</v>
      </c>
      <c r="S173" s="351">
        <f t="shared" si="83"/>
        <v>0</v>
      </c>
      <c r="T173" s="351">
        <f t="shared" si="81"/>
        <v>0</v>
      </c>
      <c r="U173" s="349" t="e">
        <f t="shared" si="73"/>
        <v>#DIV/0!</v>
      </c>
      <c r="V173" s="349" t="e">
        <f t="shared" si="82"/>
        <v>#DIV/0!</v>
      </c>
    </row>
    <row r="174" spans="1:22" x14ac:dyDescent="0.25">
      <c r="A174">
        <v>2024</v>
      </c>
      <c r="B174" s="350">
        <v>14</v>
      </c>
      <c r="C174">
        <f>COUNTIFS('Quote Log'!$B:$B,"&lt;&gt;VOID",'Quote Log'!$B:$B,"&lt;&gt;Requoted",'Quote Log'!$C:$C,"&gt;="&amp;DATE(2024,3,31),'Quote Log'!$C:$C,"&lt;="&amp;DATE(2024,4,6))</f>
        <v>0</v>
      </c>
      <c r="D174">
        <f t="shared" si="74"/>
        <v>0</v>
      </c>
      <c r="E174">
        <f>COUNTIFS('Quote Log'!$B:$B,"&lt;&gt;VOID",'Quote Log'!$B:$B,"&lt;&gt;Requoted",'Quote Log'!$H:$H,"&gt;="&amp;DATE(2024,3,31),'Quote Log'!$H:$H,"&lt;="&amp;DATE(2024,4,6))</f>
        <v>0</v>
      </c>
      <c r="F174">
        <f t="shared" si="75"/>
        <v>0</v>
      </c>
      <c r="G174">
        <f>COUNTIFS('Quote Log'!$C:$C,"&gt;="&amp;DATE(2024,3,31),'Quote Log'!$C:$C,"&lt;="&amp;DATE(2024,4,6),'Quote Log'!$B:$B,"=Purchased")</f>
        <v>0</v>
      </c>
      <c r="H174">
        <f t="shared" si="76"/>
        <v>0</v>
      </c>
      <c r="I174" s="339">
        <f t="shared" si="60"/>
        <v>0</v>
      </c>
      <c r="J174" s="339">
        <f t="shared" si="77"/>
        <v>0</v>
      </c>
      <c r="K174">
        <f>COUNTIFS('Quote Log'!$C:$C,"&gt;="&amp;DATE(2024,3,31),'Quote Log'!$C:$C,"&lt;="&amp;DATE(2024,4,6),'Quote Log'!$B:$B,"=LOST")</f>
        <v>0</v>
      </c>
      <c r="L174">
        <f>COUNTIFS('Quote Log'!$B:$B,"&lt;&gt;VOID",'Quote Log'!$B:$B,"&lt;&gt;Requoted",'Quote Log'!$C:$C,"&gt;="&amp;DATE(2024,3,31),'Quote Log'!$C:$C,"&lt;="&amp;DATE(2024,4,6),'Quote Log'!$V:$V,"=new")</f>
        <v>0</v>
      </c>
      <c r="M174" s="349">
        <f t="shared" si="61"/>
        <v>0</v>
      </c>
      <c r="N174" s="339">
        <f t="shared" si="78"/>
        <v>0</v>
      </c>
      <c r="O174" s="351">
        <f>SUMIFS('Quote Log'!$AB:$AB,'Quote Log'!$C:$C,"&gt;="&amp;DATE(2024,3,31),'Quote Log'!$C:$C,"&lt;="&amp;DATE(2024,4,6),'Quote Log'!$B:$B,"=Purchased",'Quote Log'!$AB:$AB,"&lt;&gt;#VALUE!")</f>
        <v>0</v>
      </c>
      <c r="P174" s="351">
        <f t="shared" si="79"/>
        <v>0</v>
      </c>
      <c r="Q174" s="349" t="e">
        <f t="shared" si="72"/>
        <v>#DIV/0!</v>
      </c>
      <c r="R174" s="349" t="e">
        <f t="shared" si="80"/>
        <v>#DIV/0!</v>
      </c>
      <c r="S174" s="351">
        <f t="shared" si="83"/>
        <v>0</v>
      </c>
      <c r="T174" s="351">
        <f t="shared" si="81"/>
        <v>0</v>
      </c>
      <c r="U174" s="349" t="e">
        <f t="shared" si="73"/>
        <v>#DIV/0!</v>
      </c>
      <c r="V174" s="349" t="e">
        <f t="shared" si="82"/>
        <v>#DIV/0!</v>
      </c>
    </row>
    <row r="175" spans="1:22" x14ac:dyDescent="0.25">
      <c r="A175">
        <v>2024</v>
      </c>
      <c r="B175" s="350">
        <v>15</v>
      </c>
      <c r="C175">
        <f>COUNTIFS('Quote Log'!$B:$B,"&lt;&gt;VOID",'Quote Log'!$B:$B,"&lt;&gt;Requoted",'Quote Log'!$C:$C,"&gt;="&amp;DATE(2024,4,7),'Quote Log'!$C:$C,"&lt;="&amp;DATE(2024,4,13))</f>
        <v>0</v>
      </c>
      <c r="D175">
        <f t="shared" si="74"/>
        <v>0</v>
      </c>
      <c r="E175">
        <f>COUNTIFS('Quote Log'!$B:$B,"&lt;&gt;VOID",'Quote Log'!$B:$B,"&lt;&gt;Requoted",'Quote Log'!$H:$H,"&gt;="&amp;DATE(2024,4,7),'Quote Log'!$H:$H,"&lt;="&amp;DATE(2024,4,13))</f>
        <v>0</v>
      </c>
      <c r="F175">
        <f t="shared" si="75"/>
        <v>0</v>
      </c>
      <c r="G175">
        <f>COUNTIFS('Quote Log'!$C:$C,"&gt;="&amp;DATE(2024,4,7),'Quote Log'!$C:$C,"&lt;="&amp;DATE(2024,4,13),'Quote Log'!$B:$B,"=Purchased")</f>
        <v>0</v>
      </c>
      <c r="H175">
        <f t="shared" si="76"/>
        <v>0</v>
      </c>
      <c r="I175" s="339">
        <f t="shared" si="60"/>
        <v>0</v>
      </c>
      <c r="J175" s="339">
        <f t="shared" si="77"/>
        <v>0</v>
      </c>
      <c r="K175">
        <f>COUNTIFS('Quote Log'!$C:$C,"&gt;="&amp;DATE(2024,4,7),'Quote Log'!$C:$C,"&lt;="&amp;DATE(2024,4,13),'Quote Log'!$B:$B,"=LOST")</f>
        <v>0</v>
      </c>
      <c r="L175">
        <f>COUNTIFS('Quote Log'!$B:$B,"&lt;&gt;VOID",'Quote Log'!$B:$B,"&lt;&gt;Requoted",'Quote Log'!$C:$C,"&gt;="&amp;DATE(2024,4,7),'Quote Log'!$C:$C,"&lt;="&amp;DATE(2024,4,13),'Quote Log'!$V:$V,"=new")</f>
        <v>0</v>
      </c>
      <c r="M175" s="349">
        <f t="shared" si="61"/>
        <v>0</v>
      </c>
      <c r="N175" s="339">
        <f t="shared" si="78"/>
        <v>0</v>
      </c>
      <c r="O175" s="351">
        <f>SUMIFS('Quote Log'!$AB:$AB,'Quote Log'!$C:$C,"&gt;="&amp;DATE(2024,4,7),'Quote Log'!$C:$C,"&lt;="&amp;DATE(2024,4,13),'Quote Log'!$B:$B,"=Purchased",'Quote Log'!$AB:$AB,"&lt;&gt;#VALUE!")</f>
        <v>0</v>
      </c>
      <c r="P175" s="351">
        <f t="shared" si="79"/>
        <v>0</v>
      </c>
      <c r="Q175" s="349" t="e">
        <f t="shared" si="72"/>
        <v>#DIV/0!</v>
      </c>
      <c r="R175" s="349" t="e">
        <f t="shared" si="80"/>
        <v>#DIV/0!</v>
      </c>
      <c r="S175" s="351">
        <f t="shared" si="83"/>
        <v>0</v>
      </c>
      <c r="T175" s="351">
        <f t="shared" si="81"/>
        <v>0</v>
      </c>
      <c r="U175" s="349" t="e">
        <f t="shared" si="73"/>
        <v>#DIV/0!</v>
      </c>
      <c r="V175" s="349" t="e">
        <f t="shared" si="82"/>
        <v>#DIV/0!</v>
      </c>
    </row>
    <row r="176" spans="1:22" x14ac:dyDescent="0.25">
      <c r="A176">
        <v>2024</v>
      </c>
      <c r="B176" s="350">
        <v>16</v>
      </c>
      <c r="C176">
        <f>COUNTIFS('Quote Log'!$B:$B,"&lt;&gt;VOID",'Quote Log'!$B:$B,"&lt;&gt;Requoted",'Quote Log'!$C:$C,"&gt;="&amp;DATE(2024,4,14),'Quote Log'!$C:$C,"&lt;="&amp;DATE(2024,4,20))</f>
        <v>0</v>
      </c>
      <c r="D176">
        <f t="shared" si="74"/>
        <v>0</v>
      </c>
      <c r="E176">
        <f>COUNTIFS('Quote Log'!$B:$B,"&lt;&gt;VOID",'Quote Log'!$B:$B,"&lt;&gt;Requoted",'Quote Log'!$H:$H,"&gt;="&amp;DATE(2024,4,14),'Quote Log'!$H:$H,"&lt;="&amp;DATE(2024,4,20))</f>
        <v>0</v>
      </c>
      <c r="F176">
        <f t="shared" si="75"/>
        <v>0</v>
      </c>
      <c r="G176">
        <f>COUNTIFS('Quote Log'!$C:$C,"&gt;="&amp;DATE(2024,4,14),'Quote Log'!$C:$C,"&lt;="&amp;DATE(2024,4,20),'Quote Log'!$B:$B,"=Purchased")</f>
        <v>0</v>
      </c>
      <c r="H176">
        <f t="shared" si="76"/>
        <v>0</v>
      </c>
      <c r="I176" s="339">
        <f t="shared" si="60"/>
        <v>0</v>
      </c>
      <c r="J176" s="339">
        <f t="shared" si="77"/>
        <v>0</v>
      </c>
      <c r="K176">
        <f>COUNTIFS('Quote Log'!$C:$C,"&gt;="&amp;DATE(2024,4,14),'Quote Log'!$C:$C,"&lt;="&amp;DATE(2024,4,20),'Quote Log'!$B:$B,"=LOST")</f>
        <v>0</v>
      </c>
      <c r="L176">
        <f>COUNTIFS('Quote Log'!$B:$B,"&lt;&gt;VOID",'Quote Log'!$B:$B,"&lt;&gt;Requoted",'Quote Log'!$C:$C,"&gt;="&amp;DATE(2024,4,14),'Quote Log'!$C:$C,"&lt;="&amp;DATE(2024,4,20),'Quote Log'!$V:$V,"=new")</f>
        <v>0</v>
      </c>
      <c r="M176" s="349">
        <f t="shared" si="61"/>
        <v>0</v>
      </c>
      <c r="N176" s="339">
        <f t="shared" si="78"/>
        <v>0</v>
      </c>
      <c r="O176" s="351">
        <f>SUMIFS('Quote Log'!$AB:$AB,'Quote Log'!$C:$C,"&gt;="&amp;DATE(2024,4,14),'Quote Log'!$C:$C,"&lt;="&amp;DATE(2024,4,20),'Quote Log'!$B:$B,"=Purchased",'Quote Log'!$AB:$AB,"&lt;&gt;#VALUE!")</f>
        <v>0</v>
      </c>
      <c r="P176" s="351">
        <f t="shared" si="79"/>
        <v>0</v>
      </c>
      <c r="Q176" s="349" t="e">
        <f t="shared" si="72"/>
        <v>#DIV/0!</v>
      </c>
      <c r="R176" s="349" t="e">
        <f t="shared" si="80"/>
        <v>#DIV/0!</v>
      </c>
      <c r="S176" s="351">
        <f t="shared" si="83"/>
        <v>0</v>
      </c>
      <c r="T176" s="351">
        <f t="shared" si="81"/>
        <v>0</v>
      </c>
      <c r="U176" s="349" t="e">
        <f t="shared" si="73"/>
        <v>#DIV/0!</v>
      </c>
      <c r="V176" s="349" t="e">
        <f t="shared" si="82"/>
        <v>#DIV/0!</v>
      </c>
    </row>
    <row r="177" spans="1:22" x14ac:dyDescent="0.25">
      <c r="A177">
        <v>2024</v>
      </c>
      <c r="B177" s="350">
        <v>17</v>
      </c>
      <c r="C177">
        <f>COUNTIFS('Quote Log'!$B:$B,"&lt;&gt;VOID",'Quote Log'!$B:$B,"&lt;&gt;Requoted",'Quote Log'!$C:$C,"&gt;="&amp;DATE(2024,4,21),'Quote Log'!$C:$C,"&lt;="&amp;DATE(2024,4,27))</f>
        <v>0</v>
      </c>
      <c r="D177">
        <f t="shared" si="74"/>
        <v>0</v>
      </c>
      <c r="E177">
        <f>COUNTIFS('Quote Log'!$B:$B,"&lt;&gt;VOID",'Quote Log'!$B:$B,"&lt;&gt;Requoted",'Quote Log'!$H:$H,"&gt;="&amp;DATE(2024,4,21),'Quote Log'!$H:$H,"&lt;="&amp;DATE(2024,4,27))</f>
        <v>0</v>
      </c>
      <c r="F177">
        <f t="shared" si="75"/>
        <v>0</v>
      </c>
      <c r="G177">
        <f>COUNTIFS('Quote Log'!$C:$C,"&gt;="&amp;DATE(2024,4,21),'Quote Log'!$C:$C,"&lt;="&amp;DATE(2024,4,27),'Quote Log'!$B:$B,"=Purchased")</f>
        <v>0</v>
      </c>
      <c r="H177">
        <f t="shared" si="76"/>
        <v>0</v>
      </c>
      <c r="I177" s="339">
        <f t="shared" si="60"/>
        <v>0</v>
      </c>
      <c r="J177" s="339">
        <f t="shared" si="77"/>
        <v>0</v>
      </c>
      <c r="K177">
        <f>COUNTIFS('Quote Log'!$C:$C,"&gt;="&amp;DATE(2024,4,21),'Quote Log'!$C:$C,"&lt;="&amp;DATE(2024,4,27),'Quote Log'!$B:$B,"=LOST")</f>
        <v>0</v>
      </c>
      <c r="L177">
        <f>COUNTIFS('Quote Log'!$B:$B,"&lt;&gt;VOID",'Quote Log'!$B:$B,"&lt;&gt;Requoted",'Quote Log'!$C:$C,"&gt;="&amp;DATE(2024,4,21),'Quote Log'!$C:$C,"&lt;="&amp;DATE(2024,4,27),'Quote Log'!$V:$V,"=new")</f>
        <v>0</v>
      </c>
      <c r="M177" s="349">
        <f t="shared" si="61"/>
        <v>0</v>
      </c>
      <c r="N177" s="339">
        <f t="shared" si="78"/>
        <v>0</v>
      </c>
      <c r="O177" s="351">
        <f>SUMIFS('Quote Log'!$AB:$AB,'Quote Log'!$C:$C,"&gt;="&amp;DATE(2024,4,21),'Quote Log'!$C:$C,"&lt;="&amp;DATE(2024,4,27),'Quote Log'!$B:$B,"=Purchased",'Quote Log'!$AB:$AB,"&lt;&gt;#VALUE!")</f>
        <v>0</v>
      </c>
      <c r="P177" s="351">
        <f t="shared" si="79"/>
        <v>0</v>
      </c>
      <c r="Q177" s="349" t="e">
        <f t="shared" si="72"/>
        <v>#DIV/0!</v>
      </c>
      <c r="R177" s="349" t="e">
        <f t="shared" si="80"/>
        <v>#DIV/0!</v>
      </c>
      <c r="S177" s="351">
        <f t="shared" si="83"/>
        <v>0</v>
      </c>
      <c r="T177" s="351">
        <f t="shared" si="81"/>
        <v>0</v>
      </c>
      <c r="U177" s="349" t="e">
        <f t="shared" si="73"/>
        <v>#DIV/0!</v>
      </c>
      <c r="V177" s="349" t="e">
        <f t="shared" si="82"/>
        <v>#DIV/0!</v>
      </c>
    </row>
    <row r="178" spans="1:22" x14ac:dyDescent="0.25">
      <c r="A178">
        <v>2024</v>
      </c>
      <c r="B178" s="350">
        <v>18</v>
      </c>
      <c r="C178">
        <f>COUNTIFS('Quote Log'!$B:$B,"&lt;&gt;VOID",'Quote Log'!$B:$B,"&lt;&gt;Requoted",'Quote Log'!$C:$C,"&gt;="&amp;DATE(2024,4,28),'Quote Log'!$C:$C,"&lt;="&amp;DATE(2024,5,4))</f>
        <v>0</v>
      </c>
      <c r="D178">
        <f t="shared" si="74"/>
        <v>0</v>
      </c>
      <c r="E178">
        <f>COUNTIFS('Quote Log'!$B:$B,"&lt;&gt;VOID",'Quote Log'!$B:$B,"&lt;&gt;Requoted",'Quote Log'!$H:$H,"&gt;="&amp;DATE(2024,4,28),'Quote Log'!$H:$H,"&lt;="&amp;DATE(2024,5,4))</f>
        <v>0</v>
      </c>
      <c r="F178">
        <f t="shared" si="75"/>
        <v>0</v>
      </c>
      <c r="G178">
        <f>COUNTIFS('Quote Log'!$C:$C,"&gt;="&amp;DATE(2024,4,28),'Quote Log'!$C:$C,"&lt;="&amp;DATE(2024,5,4),'Quote Log'!$B:$B,"=Purchased")</f>
        <v>0</v>
      </c>
      <c r="H178">
        <f t="shared" si="76"/>
        <v>0</v>
      </c>
      <c r="I178" s="339">
        <f t="shared" si="60"/>
        <v>0</v>
      </c>
      <c r="J178" s="339">
        <f t="shared" si="77"/>
        <v>0</v>
      </c>
      <c r="K178">
        <f>COUNTIFS('Quote Log'!$C:$C,"&gt;="&amp;DATE(2024,4,28),'Quote Log'!$C:$C,"&lt;="&amp;DATE(2024,5,4),'Quote Log'!$B:$B,"=LOST")</f>
        <v>0</v>
      </c>
      <c r="L178">
        <f>COUNTIFS('Quote Log'!$B:$B,"&lt;&gt;VOID",'Quote Log'!$B:$B,"&lt;&gt;Requoted",'Quote Log'!$C:$C,"&gt;="&amp;DATE(2024,4,28),'Quote Log'!$C:$C,"&lt;="&amp;DATE(2024,5,4),'Quote Log'!$V:$V,"=new")</f>
        <v>0</v>
      </c>
      <c r="M178" s="349">
        <f t="shared" si="61"/>
        <v>0</v>
      </c>
      <c r="N178" s="339">
        <f t="shared" si="78"/>
        <v>0</v>
      </c>
      <c r="O178" s="351">
        <f>SUMIFS('Quote Log'!$AB:$AB,'Quote Log'!$C:$C,"&gt;="&amp;DATE(2024,4,28),'Quote Log'!$C:$C,"&lt;="&amp;DATE(2024,5,4),'Quote Log'!$B:$B,"=Purchased",'Quote Log'!$AB:$AB,"&lt;&gt;#VALUE!")</f>
        <v>0</v>
      </c>
      <c r="P178" s="351">
        <f t="shared" si="79"/>
        <v>0</v>
      </c>
      <c r="Q178" s="349" t="e">
        <f t="shared" si="72"/>
        <v>#DIV/0!</v>
      </c>
      <c r="R178" s="349" t="e">
        <f t="shared" si="80"/>
        <v>#DIV/0!</v>
      </c>
      <c r="S178" s="351">
        <f t="shared" si="83"/>
        <v>0</v>
      </c>
      <c r="T178" s="351">
        <f t="shared" si="81"/>
        <v>0</v>
      </c>
      <c r="U178" s="349" t="e">
        <f t="shared" si="73"/>
        <v>#DIV/0!</v>
      </c>
      <c r="V178" s="349" t="e">
        <f t="shared" si="82"/>
        <v>#DIV/0!</v>
      </c>
    </row>
    <row r="179" spans="1:22" x14ac:dyDescent="0.25">
      <c r="A179">
        <v>2024</v>
      </c>
      <c r="B179" s="350">
        <v>19</v>
      </c>
      <c r="C179">
        <f>COUNTIFS('Quote Log'!$B:$B,"&lt;&gt;VOID",'Quote Log'!$B:$B,"&lt;&gt;Requoted",'Quote Log'!$C:$C,"&gt;="&amp;DATE(2024,5,5),'Quote Log'!$C:$C,"&lt;="&amp;DATE(2024,5,11))</f>
        <v>0</v>
      </c>
      <c r="D179">
        <f t="shared" si="74"/>
        <v>0</v>
      </c>
      <c r="E179">
        <f>COUNTIFS('Quote Log'!$B:$B,"&lt;&gt;VOID",'Quote Log'!$B:$B,"&lt;&gt;Requoted",'Quote Log'!$H:$H,"&gt;="&amp;DATE(2024,5,5),'Quote Log'!$H:$H,"&lt;="&amp;DATE(2024,5,11))</f>
        <v>0</v>
      </c>
      <c r="F179">
        <f t="shared" si="75"/>
        <v>0</v>
      </c>
      <c r="G179">
        <f>COUNTIFS('Quote Log'!$C:$C,"&gt;="&amp;DATE(2024,5,5),'Quote Log'!$C:$C,"&lt;="&amp;DATE(2024,5,11),'Quote Log'!$B:$B,"=Purchased")</f>
        <v>0</v>
      </c>
      <c r="H179">
        <f t="shared" si="76"/>
        <v>0</v>
      </c>
      <c r="I179" s="339">
        <f t="shared" si="60"/>
        <v>0</v>
      </c>
      <c r="J179" s="339">
        <f t="shared" si="77"/>
        <v>0</v>
      </c>
      <c r="K179">
        <f>COUNTIFS('Quote Log'!$C:$C,"&gt;="&amp;DATE(2024,5,5),'Quote Log'!$C:$C,"&lt;="&amp;DATE(2024,5,11),'Quote Log'!$B:$B,"=LOST")</f>
        <v>0</v>
      </c>
      <c r="L179">
        <f>COUNTIFS('Quote Log'!$B:$B,"&lt;&gt;VOID",'Quote Log'!$B:$B,"&lt;&gt;Requoted",'Quote Log'!$C:$C,"&gt;="&amp;DATE(2024,5,5),'Quote Log'!$C:$C,"&lt;="&amp;DATE(2024,5,11),'Quote Log'!$V:$V,"=new")</f>
        <v>0</v>
      </c>
      <c r="M179" s="349">
        <f t="shared" si="61"/>
        <v>0</v>
      </c>
      <c r="N179" s="339">
        <f t="shared" si="78"/>
        <v>0</v>
      </c>
      <c r="O179" s="351">
        <f>SUMIFS('Quote Log'!$AB:$AB,'Quote Log'!$C:$C,"&gt;="&amp;DATE(2024,5,5),'Quote Log'!$C:$C,"&lt;="&amp;DATE(2024,5,11),'Quote Log'!$B:$B,"=Purchased",'Quote Log'!$AB:$AB,"&lt;&gt;#VALUE!")</f>
        <v>0</v>
      </c>
      <c r="P179" s="351">
        <f t="shared" si="79"/>
        <v>0</v>
      </c>
      <c r="Q179" s="349" t="e">
        <f t="shared" si="72"/>
        <v>#DIV/0!</v>
      </c>
      <c r="R179" s="349" t="e">
        <f t="shared" si="80"/>
        <v>#DIV/0!</v>
      </c>
      <c r="S179" s="351">
        <f t="shared" si="83"/>
        <v>0</v>
      </c>
      <c r="T179" s="351">
        <f t="shared" si="81"/>
        <v>0</v>
      </c>
      <c r="U179" s="349" t="e">
        <f t="shared" si="73"/>
        <v>#DIV/0!</v>
      </c>
      <c r="V179" s="349" t="e">
        <f t="shared" si="82"/>
        <v>#DIV/0!</v>
      </c>
    </row>
    <row r="180" spans="1:22" x14ac:dyDescent="0.25">
      <c r="A180">
        <v>2024</v>
      </c>
      <c r="B180" s="350">
        <v>20</v>
      </c>
      <c r="C180">
        <f>COUNTIFS('Quote Log'!$B:$B,"&lt;&gt;VOID",'Quote Log'!$B:$B,"&lt;&gt;Requoted",'Quote Log'!$C:$C,"&gt;="&amp;DATE(2024,5,12),'Quote Log'!$C:$C,"&lt;="&amp;DATE(2024,5,18))</f>
        <v>0</v>
      </c>
      <c r="D180">
        <f t="shared" si="74"/>
        <v>0</v>
      </c>
      <c r="E180">
        <f>COUNTIFS('Quote Log'!$B:$B,"&lt;&gt;VOID",'Quote Log'!$B:$B,"&lt;&gt;Requoted",'Quote Log'!$H:$H,"&gt;="&amp;DATE(2024,5,12),'Quote Log'!$H:$H,"&lt;="&amp;DATE(2024,5,18))</f>
        <v>0</v>
      </c>
      <c r="F180">
        <f t="shared" si="75"/>
        <v>0</v>
      </c>
      <c r="G180">
        <f>COUNTIFS('Quote Log'!$C:$C,"&gt;="&amp;DATE(2024,5,12),'Quote Log'!$C:$C,"&lt;="&amp;DATE(2024,5,18),'Quote Log'!$B:$B,"=Purchased")</f>
        <v>0</v>
      </c>
      <c r="H180">
        <f t="shared" si="76"/>
        <v>0</v>
      </c>
      <c r="I180" s="339">
        <f t="shared" si="60"/>
        <v>0</v>
      </c>
      <c r="J180" s="339">
        <f t="shared" si="77"/>
        <v>0</v>
      </c>
      <c r="K180">
        <f>COUNTIFS('Quote Log'!$C:$C,"&gt;="&amp;DATE(2024,5,12),'Quote Log'!$C:$C,"&lt;="&amp;DATE(2024,5,18),'Quote Log'!$B:$B,"=LOST")</f>
        <v>0</v>
      </c>
      <c r="L180">
        <f>COUNTIFS('Quote Log'!$B:$B,"&lt;&gt;VOID",'Quote Log'!$B:$B,"&lt;&gt;Requoted",'Quote Log'!$C:$C,"&gt;="&amp;DATE(2024,5,12),'Quote Log'!$C:$C,"&lt;="&amp;DATE(2024,5,18),'Quote Log'!$V:$V,"=new")</f>
        <v>0</v>
      </c>
      <c r="M180" s="349">
        <f t="shared" si="61"/>
        <v>0</v>
      </c>
      <c r="N180" s="339">
        <f t="shared" si="78"/>
        <v>0</v>
      </c>
      <c r="O180" s="351">
        <f>SUMIFS('Quote Log'!$AB:$AB,'Quote Log'!$C:$C,"&gt;="&amp;DATE(2024,5,12),'Quote Log'!$C:$C,"&lt;="&amp;DATE(2024,5,18),'Quote Log'!$B:$B,"=Purchased",'Quote Log'!$AB:$AB,"&lt;&gt;#VALUE!")</f>
        <v>0</v>
      </c>
      <c r="P180" s="351">
        <f t="shared" si="79"/>
        <v>0</v>
      </c>
      <c r="Q180" s="349" t="e">
        <f t="shared" si="72"/>
        <v>#DIV/0!</v>
      </c>
      <c r="R180" s="349" t="e">
        <f t="shared" si="80"/>
        <v>#DIV/0!</v>
      </c>
      <c r="S180" s="351">
        <f t="shared" si="83"/>
        <v>0</v>
      </c>
      <c r="T180" s="351">
        <f t="shared" si="81"/>
        <v>0</v>
      </c>
      <c r="U180" s="349" t="e">
        <f t="shared" si="73"/>
        <v>#DIV/0!</v>
      </c>
      <c r="V180" s="349" t="e">
        <f t="shared" si="82"/>
        <v>#DIV/0!</v>
      </c>
    </row>
    <row r="181" spans="1:22" x14ac:dyDescent="0.25">
      <c r="A181">
        <v>2024</v>
      </c>
      <c r="B181" s="350">
        <v>21</v>
      </c>
      <c r="C181">
        <f>COUNTIFS('Quote Log'!$B:$B,"&lt;&gt;VOID",'Quote Log'!$B:$B,"&lt;&gt;Requoted",'Quote Log'!$C:$C,"&gt;="&amp;DATE(2024,5,19),'Quote Log'!$C:$C,"&lt;="&amp;DATE(2024,5,25))</f>
        <v>0</v>
      </c>
      <c r="D181">
        <f t="shared" si="74"/>
        <v>0</v>
      </c>
      <c r="E181">
        <f>COUNTIFS('Quote Log'!$B:$B,"&lt;&gt;VOID",'Quote Log'!$B:$B,"&lt;&gt;Requoted",'Quote Log'!$H:$H,"&gt;="&amp;DATE(2024,5,19),'Quote Log'!$H:$H,"&lt;="&amp;DATE(2024,5,25))</f>
        <v>0</v>
      </c>
      <c r="F181">
        <f t="shared" si="75"/>
        <v>0</v>
      </c>
      <c r="G181">
        <f>COUNTIFS('Quote Log'!$C:$C,"&gt;="&amp;DATE(2024,5,19),'Quote Log'!$C:$C,"&lt;="&amp;DATE(2024,5,25),'Quote Log'!$B:$B,"=Purchased")</f>
        <v>0</v>
      </c>
      <c r="H181">
        <f t="shared" si="76"/>
        <v>0</v>
      </c>
      <c r="I181" s="339">
        <f t="shared" si="60"/>
        <v>0</v>
      </c>
      <c r="J181" s="339">
        <f t="shared" si="77"/>
        <v>0</v>
      </c>
      <c r="K181">
        <f>COUNTIFS('Quote Log'!$C:$C,"&gt;="&amp;DATE(2024,5,19),'Quote Log'!$C:$C,"&lt;="&amp;DATE(2024,5,25),'Quote Log'!$B:$B,"=LOST")</f>
        <v>0</v>
      </c>
      <c r="L181">
        <f>COUNTIFS('Quote Log'!$B:$B,"&lt;&gt;VOID",'Quote Log'!$B:$B,"&lt;&gt;Requoted",'Quote Log'!$C:$C,"&gt;="&amp;DATE(2024,5,19),'Quote Log'!$C:$C,"&lt;="&amp;DATE(2024,5,25),'Quote Log'!$V:$V,"=new")</f>
        <v>0</v>
      </c>
      <c r="M181" s="349">
        <f t="shared" si="61"/>
        <v>0</v>
      </c>
      <c r="N181" s="339">
        <f t="shared" si="78"/>
        <v>0</v>
      </c>
      <c r="O181" s="351">
        <f>SUMIFS('Quote Log'!$AB:$AB,'Quote Log'!$C:$C,"&gt;="&amp;DATE(2024,5,19),'Quote Log'!$C:$C,"&lt;="&amp;DATE(2024,5,25),'Quote Log'!$B:$B,"=Purchased",'Quote Log'!$AB:$AB,"&lt;&gt;#VALUE!")</f>
        <v>0</v>
      </c>
      <c r="P181" s="351">
        <f t="shared" si="79"/>
        <v>0</v>
      </c>
      <c r="Q181" s="349" t="e">
        <f t="shared" si="72"/>
        <v>#DIV/0!</v>
      </c>
      <c r="R181" s="349" t="e">
        <f t="shared" si="80"/>
        <v>#DIV/0!</v>
      </c>
      <c r="S181" s="351">
        <f t="shared" si="83"/>
        <v>0</v>
      </c>
      <c r="T181" s="351">
        <f t="shared" si="81"/>
        <v>0</v>
      </c>
      <c r="U181" s="349" t="e">
        <f t="shared" si="73"/>
        <v>#DIV/0!</v>
      </c>
      <c r="V181" s="349" t="e">
        <f t="shared" si="82"/>
        <v>#DIV/0!</v>
      </c>
    </row>
    <row r="182" spans="1:22" x14ac:dyDescent="0.25">
      <c r="A182">
        <v>2024</v>
      </c>
      <c r="B182" s="350">
        <v>22</v>
      </c>
      <c r="C182">
        <f>COUNTIFS('Quote Log'!$B:$B,"&lt;&gt;VOID",'Quote Log'!$B:$B,"&lt;&gt;Requoted",'Quote Log'!$C:$C,"&gt;="&amp;DATE(2024,5,26),'Quote Log'!$C:$C,"&lt;="&amp;DATE(2024,6,1))</f>
        <v>0</v>
      </c>
      <c r="D182">
        <f t="shared" si="74"/>
        <v>0</v>
      </c>
      <c r="E182">
        <f>COUNTIFS('Quote Log'!$B:$B,"&lt;&gt;VOID",'Quote Log'!$B:$B,"&lt;&gt;Requoted",'Quote Log'!$H:$H,"&gt;="&amp;DATE(2024,5,26),'Quote Log'!$H:$H,"&lt;="&amp;DATE(2024,6,1))</f>
        <v>0</v>
      </c>
      <c r="F182">
        <f t="shared" si="75"/>
        <v>0</v>
      </c>
      <c r="G182">
        <f>COUNTIFS('Quote Log'!$C:$C,"&gt;="&amp;DATE(2024,5,26),'Quote Log'!$C:$C,"&lt;="&amp;DATE(2024,6,1),'Quote Log'!$B:$B,"=Purchased")</f>
        <v>0</v>
      </c>
      <c r="H182">
        <f t="shared" si="76"/>
        <v>0</v>
      </c>
      <c r="I182" s="339">
        <f t="shared" si="60"/>
        <v>0</v>
      </c>
      <c r="J182" s="339">
        <f t="shared" si="77"/>
        <v>0</v>
      </c>
      <c r="K182">
        <f>COUNTIFS('Quote Log'!$C:$C,"&gt;="&amp;DATE(2024,5,26),'Quote Log'!$C:$C,"&lt;="&amp;DATE(2024,6,1),'Quote Log'!$B:$B,"=LOST")</f>
        <v>0</v>
      </c>
      <c r="L182">
        <f>COUNTIFS('Quote Log'!$B:$B,"&lt;&gt;VOID",'Quote Log'!$B:$B,"&lt;&gt;Requoted",'Quote Log'!$C:$C,"&gt;="&amp;DATE(2024,5,26),'Quote Log'!$C:$C,"&lt;="&amp;DATE(2024,6,1),'Quote Log'!$V:$V,"=new")</f>
        <v>0</v>
      </c>
      <c r="M182" s="349">
        <f t="shared" si="61"/>
        <v>0</v>
      </c>
      <c r="N182" s="339">
        <f t="shared" si="78"/>
        <v>0</v>
      </c>
      <c r="O182" s="351">
        <f>SUMIFS('Quote Log'!$AB:$AB,'Quote Log'!$C:$C,"&gt;="&amp;DATE(2024,5,26),'Quote Log'!$C:$C,"&lt;="&amp;DATE(2024,6,1),'Quote Log'!$B:$B,"=Purchased",'Quote Log'!$AB:$AB,"&lt;&gt;#VALUE!")</f>
        <v>0</v>
      </c>
      <c r="P182" s="351">
        <f t="shared" si="79"/>
        <v>0</v>
      </c>
      <c r="Q182" s="349" t="e">
        <f t="shared" si="72"/>
        <v>#DIV/0!</v>
      </c>
      <c r="R182" s="349" t="e">
        <f t="shared" si="80"/>
        <v>#DIV/0!</v>
      </c>
      <c r="S182" s="351">
        <f t="shared" si="83"/>
        <v>0</v>
      </c>
      <c r="T182" s="351">
        <f t="shared" si="81"/>
        <v>0</v>
      </c>
      <c r="U182" s="349" t="e">
        <f t="shared" si="73"/>
        <v>#DIV/0!</v>
      </c>
      <c r="V182" s="349" t="e">
        <f t="shared" si="82"/>
        <v>#DIV/0!</v>
      </c>
    </row>
    <row r="183" spans="1:22" x14ac:dyDescent="0.25">
      <c r="A183">
        <v>2024</v>
      </c>
      <c r="B183" s="350">
        <v>23</v>
      </c>
      <c r="C183">
        <f>COUNTIFS('Quote Log'!$B:$B,"&lt;&gt;VOID",'Quote Log'!$B:$B,"&lt;&gt;Requoted",'Quote Log'!$C:$C,"&gt;="&amp;DATE(2024,6,2),'Quote Log'!$C:$C,"&lt;="&amp;DATE(2024,6,8))</f>
        <v>0</v>
      </c>
      <c r="D183">
        <f t="shared" si="74"/>
        <v>0</v>
      </c>
      <c r="E183">
        <f>COUNTIFS('Quote Log'!$B:$B,"&lt;&gt;VOID",'Quote Log'!$B:$B,"&lt;&gt;Requoted",'Quote Log'!$H:$H,"&gt;="&amp;DATE(2024,6,2),'Quote Log'!$H:$H,"&lt;="&amp;DATE(2024,6,8))</f>
        <v>0</v>
      </c>
      <c r="F183">
        <f t="shared" si="75"/>
        <v>0</v>
      </c>
      <c r="G183">
        <f>COUNTIFS('Quote Log'!$C:$C,"&gt;="&amp;DATE(2024,6,2),'Quote Log'!$C:$C,"&lt;="&amp;DATE(2024,6,8),'Quote Log'!$B:$B,"=Purchased")</f>
        <v>0</v>
      </c>
      <c r="H183">
        <f t="shared" si="76"/>
        <v>0</v>
      </c>
      <c r="I183" s="339">
        <f t="shared" si="60"/>
        <v>0</v>
      </c>
      <c r="J183" s="339">
        <f t="shared" si="77"/>
        <v>0</v>
      </c>
      <c r="K183">
        <f>COUNTIFS('Quote Log'!$C:$C,"&gt;="&amp;DATE(2024,6,2),'Quote Log'!$C:$C,"&lt;="&amp;DATE(2024,6,8),'Quote Log'!$B:$B,"=LOST")</f>
        <v>0</v>
      </c>
      <c r="L183">
        <f>COUNTIFS('Quote Log'!$B:$B,"&lt;&gt;VOID",'Quote Log'!$B:$B,"&lt;&gt;Requoted",'Quote Log'!$C:$C,"&gt;="&amp;DATE(2024,6,2),'Quote Log'!$C:$C,"&lt;="&amp;DATE(2024,6,8),'Quote Log'!$V:$V,"=new")</f>
        <v>0</v>
      </c>
      <c r="M183" s="349">
        <f t="shared" si="61"/>
        <v>0</v>
      </c>
      <c r="N183" s="339">
        <f t="shared" si="78"/>
        <v>0</v>
      </c>
      <c r="O183" s="351">
        <f>SUMIFS('Quote Log'!$AB:$AB,'Quote Log'!$C:$C,"&gt;="&amp;DATE(2024,6,2),'Quote Log'!$C:$C,"&lt;="&amp;DATE(2024,6,8),'Quote Log'!$B:$B,"=Purchased",'Quote Log'!$AB:$AB,"&lt;&gt;#VALUE!")</f>
        <v>0</v>
      </c>
      <c r="P183" s="351">
        <f t="shared" si="79"/>
        <v>0</v>
      </c>
      <c r="Q183" s="349" t="e">
        <f t="shared" ref="Q183:Q214" si="84">(O183-O130)/O130</f>
        <v>#DIV/0!</v>
      </c>
      <c r="R183" s="349" t="e">
        <f t="shared" si="80"/>
        <v>#DIV/0!</v>
      </c>
      <c r="S183" s="351">
        <f t="shared" si="83"/>
        <v>0</v>
      </c>
      <c r="T183" s="351">
        <f t="shared" si="81"/>
        <v>0</v>
      </c>
      <c r="U183" s="349" t="e">
        <f t="shared" ref="U183:U214" si="85">(S183-S130)/S130</f>
        <v>#DIV/0!</v>
      </c>
      <c r="V183" s="349" t="e">
        <f t="shared" si="82"/>
        <v>#DIV/0!</v>
      </c>
    </row>
    <row r="184" spans="1:22" x14ac:dyDescent="0.25">
      <c r="A184">
        <v>2024</v>
      </c>
      <c r="B184" s="350">
        <v>24</v>
      </c>
      <c r="C184">
        <f>COUNTIFS('Quote Log'!$B:$B,"&lt;&gt;VOID",'Quote Log'!$B:$B,"&lt;&gt;Requoted",'Quote Log'!$C:$C,"&gt;="&amp;DATE(2024,6,9),'Quote Log'!$C:$C,"&lt;="&amp;DATE(2024,6,15))</f>
        <v>0</v>
      </c>
      <c r="D184">
        <f t="shared" si="74"/>
        <v>0</v>
      </c>
      <c r="E184">
        <f>COUNTIFS('Quote Log'!$B:$B,"&lt;&gt;VOID",'Quote Log'!$B:$B,"&lt;&gt;Requoted",'Quote Log'!$H:$H,"&gt;="&amp;DATE(2024,6,9),'Quote Log'!$H:$H,"&lt;="&amp;DATE(2024,6,15))</f>
        <v>0</v>
      </c>
      <c r="F184">
        <f t="shared" si="75"/>
        <v>0</v>
      </c>
      <c r="G184">
        <f>COUNTIFS('Quote Log'!$C:$C,"&gt;="&amp;DATE(2024,6,9),'Quote Log'!$C:$C,"&lt;="&amp;DATE(2024,6,15),'Quote Log'!$B:$B,"=Purchased")</f>
        <v>0</v>
      </c>
      <c r="H184">
        <f t="shared" si="76"/>
        <v>0</v>
      </c>
      <c r="I184" s="339">
        <f t="shared" si="60"/>
        <v>0</v>
      </c>
      <c r="J184" s="339">
        <f t="shared" si="77"/>
        <v>0</v>
      </c>
      <c r="K184">
        <f>COUNTIFS('Quote Log'!$C:$C,"&gt;="&amp;DATE(2024,6,9),'Quote Log'!$C:$C,"&lt;="&amp;DATE(2024,6,15),'Quote Log'!$B:$B,"=LOST")</f>
        <v>0</v>
      </c>
      <c r="L184">
        <f>COUNTIFS('Quote Log'!$B:$B,"&lt;&gt;VOID",'Quote Log'!$B:$B,"&lt;&gt;Requoted",'Quote Log'!$C:$C,"&gt;="&amp;DATE(2024,6,9),'Quote Log'!$C:$C,"&lt;="&amp;DATE(2024,6,15),'Quote Log'!$V:$V,"=new")</f>
        <v>0</v>
      </c>
      <c r="M184" s="349">
        <f t="shared" si="61"/>
        <v>0</v>
      </c>
      <c r="N184" s="339">
        <f t="shared" si="78"/>
        <v>0</v>
      </c>
      <c r="O184" s="351">
        <f>SUMIFS('Quote Log'!$AB:$AB,'Quote Log'!$C:$C,"&gt;="&amp;DATE(2024,6,9),'Quote Log'!$C:$C,"&lt;="&amp;DATE(2024,6,15),'Quote Log'!$B:$B,"=Purchased",'Quote Log'!$AB:$AB,"&lt;&gt;#VALUE!")</f>
        <v>0</v>
      </c>
      <c r="P184" s="351">
        <f t="shared" si="79"/>
        <v>0</v>
      </c>
      <c r="Q184" s="349" t="e">
        <f t="shared" si="84"/>
        <v>#DIV/0!</v>
      </c>
      <c r="R184" s="349" t="e">
        <f t="shared" si="80"/>
        <v>#DIV/0!</v>
      </c>
      <c r="S184" s="351">
        <f t="shared" si="83"/>
        <v>0</v>
      </c>
      <c r="T184" s="351">
        <f t="shared" si="81"/>
        <v>0</v>
      </c>
      <c r="U184" s="349" t="e">
        <f t="shared" si="85"/>
        <v>#DIV/0!</v>
      </c>
      <c r="V184" s="349" t="e">
        <f t="shared" si="82"/>
        <v>#DIV/0!</v>
      </c>
    </row>
    <row r="185" spans="1:22" x14ac:dyDescent="0.25">
      <c r="A185">
        <v>2024</v>
      </c>
      <c r="B185" s="350">
        <v>25</v>
      </c>
      <c r="C185">
        <f>COUNTIFS('Quote Log'!$B:$B,"&lt;&gt;VOID",'Quote Log'!$B:$B,"&lt;&gt;Requoted",'Quote Log'!$C:$C,"&gt;="&amp;DATE(2024,6,16),'Quote Log'!$C:$C,"&lt;="&amp;DATE(2024,6,22))</f>
        <v>0</v>
      </c>
      <c r="D185">
        <f t="shared" si="74"/>
        <v>0</v>
      </c>
      <c r="E185">
        <f>COUNTIFS('Quote Log'!$B:$B,"&lt;&gt;VOID",'Quote Log'!$B:$B,"&lt;&gt;Requoted",'Quote Log'!$H:$H,"&gt;="&amp;DATE(2024,6,16),'Quote Log'!$H:$H,"&lt;="&amp;DATE(2024,6,22))</f>
        <v>0</v>
      </c>
      <c r="F185">
        <f t="shared" si="75"/>
        <v>0</v>
      </c>
      <c r="G185">
        <f>COUNTIFS('Quote Log'!$C:$C,"&gt;="&amp;DATE(2024,6,16),'Quote Log'!$C:$C,"&lt;="&amp;DATE(2024,6,22),'Quote Log'!$B:$B,"=Purchased")</f>
        <v>0</v>
      </c>
      <c r="H185">
        <f t="shared" si="76"/>
        <v>0</v>
      </c>
      <c r="I185" s="339">
        <f t="shared" si="60"/>
        <v>0</v>
      </c>
      <c r="J185" s="339">
        <f t="shared" si="77"/>
        <v>0</v>
      </c>
      <c r="K185">
        <f>COUNTIFS('Quote Log'!$C:$C,"&gt;="&amp;DATE(2024,6,16),'Quote Log'!$C:$C,"&lt;="&amp;DATE(2024,6,22),'Quote Log'!$B:$B,"=LOST")</f>
        <v>0</v>
      </c>
      <c r="L185">
        <f>COUNTIFS('Quote Log'!$B:$B,"&lt;&gt;VOID",'Quote Log'!$B:$B,"&lt;&gt;Requoted",'Quote Log'!$C:$C,"&gt;="&amp;DATE(2024,6,16),'Quote Log'!$C:$C,"&lt;="&amp;DATE(2024,6,22),'Quote Log'!$V:$V,"=new")</f>
        <v>0</v>
      </c>
      <c r="M185" s="349">
        <f t="shared" si="61"/>
        <v>0</v>
      </c>
      <c r="N185" s="339">
        <f t="shared" si="78"/>
        <v>0</v>
      </c>
      <c r="O185" s="351">
        <f>SUMIFS('Quote Log'!$AB:$AB,'Quote Log'!$C:$C,"&gt;="&amp;DATE(2024,6,16),'Quote Log'!$C:$C,"&lt;="&amp;DATE(2024,6,22),'Quote Log'!$B:$B,"=Purchased",'Quote Log'!$AB:$AB,"&lt;&gt;#VALUE!")</f>
        <v>0</v>
      </c>
      <c r="P185" s="351">
        <f t="shared" si="79"/>
        <v>0</v>
      </c>
      <c r="Q185" s="349" t="e">
        <f t="shared" si="84"/>
        <v>#DIV/0!</v>
      </c>
      <c r="R185" s="349" t="e">
        <f t="shared" si="80"/>
        <v>#DIV/0!</v>
      </c>
      <c r="S185" s="351">
        <f t="shared" si="83"/>
        <v>0</v>
      </c>
      <c r="T185" s="351">
        <f t="shared" si="81"/>
        <v>0</v>
      </c>
      <c r="U185" s="349" t="e">
        <f t="shared" si="85"/>
        <v>#DIV/0!</v>
      </c>
      <c r="V185" s="349" t="e">
        <f t="shared" si="82"/>
        <v>#DIV/0!</v>
      </c>
    </row>
    <row r="186" spans="1:22" x14ac:dyDescent="0.25">
      <c r="A186">
        <v>2024</v>
      </c>
      <c r="B186" s="350">
        <v>26</v>
      </c>
      <c r="C186">
        <f>COUNTIFS('Quote Log'!$B:$B,"&lt;&gt;VOID",'Quote Log'!$B:$B,"&lt;&gt;Requoted",'Quote Log'!$C:$C,"&gt;="&amp;DATE(2024,6,23),'Quote Log'!$C:$C,"&lt;="&amp;DATE(2024,6,29))</f>
        <v>0</v>
      </c>
      <c r="D186">
        <f t="shared" si="74"/>
        <v>0</v>
      </c>
      <c r="E186">
        <f>COUNTIFS('Quote Log'!$B:$B,"&lt;&gt;VOID",'Quote Log'!$B:$B,"&lt;&gt;Requoted",'Quote Log'!$H:$H,"&gt;="&amp;DATE(2024,6,23),'Quote Log'!$H:$H,"&lt;="&amp;DATE(2024,6,29))</f>
        <v>0</v>
      </c>
      <c r="F186">
        <f t="shared" si="75"/>
        <v>0</v>
      </c>
      <c r="G186">
        <f>COUNTIFS('Quote Log'!$C:$C,"&gt;="&amp;DATE(2024,6,23),'Quote Log'!$C:$C,"&lt;="&amp;DATE(2024,6,29),'Quote Log'!$B:$B,"=Purchased")</f>
        <v>0</v>
      </c>
      <c r="H186">
        <f t="shared" si="76"/>
        <v>0</v>
      </c>
      <c r="I186" s="339">
        <f t="shared" si="60"/>
        <v>0</v>
      </c>
      <c r="J186" s="339">
        <f t="shared" si="77"/>
        <v>0</v>
      </c>
      <c r="K186">
        <f>COUNTIFS('Quote Log'!$C:$C,"&gt;="&amp;DATE(2024,6,23),'Quote Log'!$C:$C,"&lt;="&amp;DATE(2024,6,29),'Quote Log'!$B:$B,"=LOST")</f>
        <v>0</v>
      </c>
      <c r="L186">
        <f>COUNTIFS('Quote Log'!$B:$B,"&lt;&gt;VOID",'Quote Log'!$B:$B,"&lt;&gt;Requoted",'Quote Log'!$C:$C,"&gt;="&amp;DATE(2024,6,23),'Quote Log'!$C:$C,"&lt;="&amp;DATE(2024,6,29),'Quote Log'!$V:$V,"=new")</f>
        <v>0</v>
      </c>
      <c r="M186" s="349">
        <f t="shared" si="61"/>
        <v>0</v>
      </c>
      <c r="N186" s="339">
        <f t="shared" si="78"/>
        <v>0</v>
      </c>
      <c r="O186" s="351">
        <f>SUMIFS('Quote Log'!$AB:$AB,'Quote Log'!$C:$C,"&gt;="&amp;DATE(2024,6,23),'Quote Log'!$C:$C,"&lt;="&amp;DATE(2024,6,29),'Quote Log'!$B:$B,"=Purchased",'Quote Log'!$AB:$AB,"&lt;&gt;#VALUE!")</f>
        <v>0</v>
      </c>
      <c r="P186" s="351">
        <f t="shared" si="79"/>
        <v>0</v>
      </c>
      <c r="Q186" s="349" t="e">
        <f t="shared" si="84"/>
        <v>#DIV/0!</v>
      </c>
      <c r="R186" s="349" t="e">
        <f t="shared" si="80"/>
        <v>#DIV/0!</v>
      </c>
      <c r="S186" s="351">
        <f t="shared" si="83"/>
        <v>0</v>
      </c>
      <c r="T186" s="351">
        <f t="shared" si="81"/>
        <v>0</v>
      </c>
      <c r="U186" s="349" t="e">
        <f t="shared" si="85"/>
        <v>#DIV/0!</v>
      </c>
      <c r="V186" s="349" t="e">
        <f t="shared" si="82"/>
        <v>#DIV/0!</v>
      </c>
    </row>
    <row r="187" spans="1:22" x14ac:dyDescent="0.25">
      <c r="A187">
        <v>2024</v>
      </c>
      <c r="B187" s="350">
        <v>27</v>
      </c>
      <c r="C187">
        <f>COUNTIFS('Quote Log'!$B:$B,"&lt;&gt;VOID",'Quote Log'!$B:$B,"&lt;&gt;Requoted",'Quote Log'!$C:$C,"&gt;="&amp;DATE(2024,6,30),'Quote Log'!$C:$C,"&lt;="&amp;DATE(2024,7,6))</f>
        <v>0</v>
      </c>
      <c r="D187">
        <f t="shared" si="74"/>
        <v>0</v>
      </c>
      <c r="E187">
        <f>COUNTIFS('Quote Log'!$B:$B,"&lt;&gt;VOID",'Quote Log'!$B:$B,"&lt;&gt;Requoted",'Quote Log'!$H:$H,"&gt;="&amp;DATE(2024,6,30),'Quote Log'!$H:$H,"&lt;="&amp;DATE(2024,7,6))</f>
        <v>0</v>
      </c>
      <c r="F187">
        <f t="shared" si="75"/>
        <v>0</v>
      </c>
      <c r="G187">
        <f>COUNTIFS('Quote Log'!$C:$C,"&gt;="&amp;DATE(2024,6,30),'Quote Log'!$C:$C,"&lt;="&amp;DATE(2024,7,6),'Quote Log'!$B:$B,"=Purchased")</f>
        <v>0</v>
      </c>
      <c r="H187">
        <f t="shared" si="76"/>
        <v>0</v>
      </c>
      <c r="I187" s="339">
        <f t="shared" si="60"/>
        <v>0</v>
      </c>
      <c r="J187" s="339">
        <f t="shared" si="77"/>
        <v>0</v>
      </c>
      <c r="K187">
        <f>COUNTIFS('Quote Log'!$C:$C,"&gt;="&amp;DATE(2024,6,30),'Quote Log'!$C:$C,"&lt;="&amp;DATE(2024,7,6),'Quote Log'!$B:$B,"=LOST")</f>
        <v>0</v>
      </c>
      <c r="L187">
        <f>COUNTIFS('Quote Log'!$B:$B,"&lt;&gt;VOID",'Quote Log'!$B:$B,"&lt;&gt;Requoted",'Quote Log'!$C:$C,"&gt;="&amp;DATE(2024,6,30),'Quote Log'!$C:$C,"&lt;="&amp;DATE(2024,7,6),'Quote Log'!$V:$V,"=new")</f>
        <v>0</v>
      </c>
      <c r="M187" s="349">
        <f t="shared" si="61"/>
        <v>0</v>
      </c>
      <c r="N187" s="339">
        <f t="shared" si="78"/>
        <v>0</v>
      </c>
      <c r="O187" s="351">
        <f>SUMIFS('Quote Log'!$AB:$AB,'Quote Log'!$C:$C,"&gt;="&amp;DATE(2024,6,30),'Quote Log'!$C:$C,"&lt;="&amp;DATE(2024,7,6),'Quote Log'!$B:$B,"=Purchased",'Quote Log'!$AB:$AB,"&lt;&gt;#VALUE!")</f>
        <v>0</v>
      </c>
      <c r="P187" s="351">
        <f t="shared" si="79"/>
        <v>0</v>
      </c>
      <c r="Q187" s="349" t="e">
        <f t="shared" si="84"/>
        <v>#DIV/0!</v>
      </c>
      <c r="R187" s="349" t="e">
        <f t="shared" si="80"/>
        <v>#DIV/0!</v>
      </c>
      <c r="S187" s="351">
        <f t="shared" si="83"/>
        <v>0</v>
      </c>
      <c r="T187" s="351">
        <f t="shared" si="81"/>
        <v>0</v>
      </c>
      <c r="U187" s="349" t="e">
        <f t="shared" si="85"/>
        <v>#DIV/0!</v>
      </c>
      <c r="V187" s="349" t="e">
        <f t="shared" si="82"/>
        <v>#DIV/0!</v>
      </c>
    </row>
    <row r="188" spans="1:22" x14ac:dyDescent="0.25">
      <c r="A188">
        <v>2024</v>
      </c>
      <c r="B188" s="350">
        <v>28</v>
      </c>
      <c r="C188">
        <f>COUNTIFS('Quote Log'!$B:$B,"&lt;&gt;VOID",'Quote Log'!$B:$B,"&lt;&gt;Requoted",'Quote Log'!$C:$C,"&gt;="&amp;DATE(2024,7,7),'Quote Log'!$C:$C,"&lt;="&amp;DATE(2024,7,13))</f>
        <v>0</v>
      </c>
      <c r="D188">
        <f t="shared" si="74"/>
        <v>0</v>
      </c>
      <c r="E188">
        <f>COUNTIFS('Quote Log'!$B:$B,"&lt;&gt;VOID",'Quote Log'!$B:$B,"&lt;&gt;Requoted",'Quote Log'!$H:$H,"&gt;="&amp;DATE(2024,7,7),'Quote Log'!$H:$H,"&lt;="&amp;DATE(2024,7,13))</f>
        <v>0</v>
      </c>
      <c r="F188">
        <f t="shared" si="75"/>
        <v>0</v>
      </c>
      <c r="G188">
        <f>COUNTIFS('Quote Log'!$C:$C,"&gt;="&amp;DATE(2024,7,7),'Quote Log'!$C:$C,"&lt;="&amp;DATE(2024,7,13),'Quote Log'!$B:$B,"=Purchased")</f>
        <v>0</v>
      </c>
      <c r="H188">
        <f t="shared" si="76"/>
        <v>0</v>
      </c>
      <c r="I188" s="339">
        <f t="shared" si="60"/>
        <v>0</v>
      </c>
      <c r="J188" s="339">
        <f t="shared" si="77"/>
        <v>0</v>
      </c>
      <c r="K188">
        <f>COUNTIFS('Quote Log'!$C:$C,"&gt;="&amp;DATE(2024,7,7),'Quote Log'!$C:$C,"&lt;="&amp;DATE(2024,7,13),'Quote Log'!$B:$B,"=LOST")</f>
        <v>0</v>
      </c>
      <c r="L188">
        <f>COUNTIFS('Quote Log'!$B:$B,"&lt;&gt;VOID",'Quote Log'!$B:$B,"&lt;&gt;Requoted",'Quote Log'!$C:$C,"&gt;="&amp;DATE(2024,7,7),'Quote Log'!$C:$C,"&lt;="&amp;DATE(2024,7,13),'Quote Log'!$V:$V,"=new")</f>
        <v>0</v>
      </c>
      <c r="M188" s="349">
        <f t="shared" si="61"/>
        <v>0</v>
      </c>
      <c r="N188" s="339">
        <f t="shared" si="78"/>
        <v>0</v>
      </c>
      <c r="O188" s="351">
        <f>SUMIFS('Quote Log'!$AB:$AB,'Quote Log'!$C:$C,"&gt;="&amp;DATE(2024,7,7),'Quote Log'!$C:$C,"&lt;="&amp;DATE(2024,7,13),'Quote Log'!$B:$B,"=Purchased",'Quote Log'!$AB:$AB,"&lt;&gt;#VALUE!")</f>
        <v>0</v>
      </c>
      <c r="P188" s="351">
        <f t="shared" si="79"/>
        <v>0</v>
      </c>
      <c r="Q188" s="349" t="e">
        <f t="shared" si="84"/>
        <v>#DIV/0!</v>
      </c>
      <c r="R188" s="349" t="e">
        <f t="shared" si="80"/>
        <v>#DIV/0!</v>
      </c>
      <c r="S188" s="351">
        <f t="shared" si="83"/>
        <v>0</v>
      </c>
      <c r="T188" s="351">
        <f t="shared" si="81"/>
        <v>0</v>
      </c>
      <c r="U188" s="349" t="e">
        <f t="shared" si="85"/>
        <v>#DIV/0!</v>
      </c>
      <c r="V188" s="349" t="e">
        <f t="shared" si="82"/>
        <v>#DIV/0!</v>
      </c>
    </row>
    <row r="189" spans="1:22" x14ac:dyDescent="0.25">
      <c r="A189">
        <v>2024</v>
      </c>
      <c r="B189" s="350">
        <v>29</v>
      </c>
      <c r="C189">
        <f>COUNTIFS('Quote Log'!$B:$B,"&lt;&gt;VOID",'Quote Log'!$B:$B,"&lt;&gt;Requoted",'Quote Log'!$C:$C,"&gt;="&amp;DATE(2024,7,14),'Quote Log'!$C:$C,"&lt;="&amp;DATE(2024,7,20))</f>
        <v>0</v>
      </c>
      <c r="D189">
        <f t="shared" si="74"/>
        <v>0</v>
      </c>
      <c r="E189">
        <f>COUNTIFS('Quote Log'!$B:$B,"&lt;&gt;VOID",'Quote Log'!$B:$B,"&lt;&gt;Requoted",'Quote Log'!$H:$H,"&gt;="&amp;DATE(2024,7,14),'Quote Log'!$H:$H,"&lt;="&amp;DATE(2024,7,20))</f>
        <v>0</v>
      </c>
      <c r="F189">
        <f t="shared" si="75"/>
        <v>0</v>
      </c>
      <c r="G189">
        <f>COUNTIFS('Quote Log'!$C:$C,"&gt;="&amp;DATE(2024,7,14),'Quote Log'!$C:$C,"&lt;="&amp;DATE(2024,7,20),'Quote Log'!$B:$B,"=Purchased")</f>
        <v>0</v>
      </c>
      <c r="H189">
        <f t="shared" si="76"/>
        <v>0</v>
      </c>
      <c r="I189" s="339">
        <f t="shared" si="60"/>
        <v>0</v>
      </c>
      <c r="J189" s="339">
        <f t="shared" si="77"/>
        <v>0</v>
      </c>
      <c r="K189">
        <f>COUNTIFS('Quote Log'!$C:$C,"&gt;="&amp;DATE(2024,7,14),'Quote Log'!$C:$C,"&lt;="&amp;DATE(2024,7,20),'Quote Log'!$B:$B,"=LOST")</f>
        <v>0</v>
      </c>
      <c r="L189">
        <f>COUNTIFS('Quote Log'!$B:$B,"&lt;&gt;VOID",'Quote Log'!$B:$B,"&lt;&gt;Requoted",'Quote Log'!$C:$C,"&gt;="&amp;DATE(2024,7,14),'Quote Log'!$C:$C,"&lt;="&amp;DATE(2024,7,20),'Quote Log'!$V:$V,"=new")</f>
        <v>0</v>
      </c>
      <c r="M189" s="349">
        <f t="shared" si="61"/>
        <v>0</v>
      </c>
      <c r="N189" s="339">
        <f t="shared" si="78"/>
        <v>0</v>
      </c>
      <c r="O189" s="351">
        <f>SUMIFS('Quote Log'!$AB:$AB,'Quote Log'!$C:$C,"&gt;="&amp;DATE(2024,7,14),'Quote Log'!$C:$C,"&lt;="&amp;DATE(2024,7,20),'Quote Log'!$B:$B,"=Purchased",'Quote Log'!$AB:$AB,"&lt;&gt;#VALUE!")</f>
        <v>0</v>
      </c>
      <c r="P189" s="351">
        <f t="shared" si="79"/>
        <v>0</v>
      </c>
      <c r="Q189" s="349" t="e">
        <f t="shared" si="84"/>
        <v>#DIV/0!</v>
      </c>
      <c r="R189" s="349" t="e">
        <f t="shared" si="80"/>
        <v>#DIV/0!</v>
      </c>
      <c r="S189" s="351">
        <f t="shared" si="83"/>
        <v>0</v>
      </c>
      <c r="T189" s="351">
        <f t="shared" si="81"/>
        <v>0</v>
      </c>
      <c r="U189" s="349" t="e">
        <f t="shared" si="85"/>
        <v>#DIV/0!</v>
      </c>
      <c r="V189" s="349" t="e">
        <f t="shared" si="82"/>
        <v>#DIV/0!</v>
      </c>
    </row>
    <row r="190" spans="1:22" x14ac:dyDescent="0.25">
      <c r="A190">
        <v>2024</v>
      </c>
      <c r="B190" s="350">
        <v>30</v>
      </c>
      <c r="C190">
        <f>COUNTIFS('Quote Log'!$B:$B,"&lt;&gt;VOID",'Quote Log'!$B:$B,"&lt;&gt;Requoted",'Quote Log'!$C:$C,"&gt;="&amp;DATE(2024,7,21),'Quote Log'!$C:$C,"&lt;="&amp;DATE(2024,7,27))</f>
        <v>0</v>
      </c>
      <c r="D190">
        <f t="shared" si="74"/>
        <v>0</v>
      </c>
      <c r="E190">
        <f>COUNTIFS('Quote Log'!$B:$B,"&lt;&gt;VOID",'Quote Log'!$B:$B,"&lt;&gt;Requoted",'Quote Log'!$H:$H,"&gt;="&amp;DATE(2024,7,21),'Quote Log'!$H:$H,"&lt;="&amp;DATE(2024,7,27))</f>
        <v>0</v>
      </c>
      <c r="F190">
        <f t="shared" si="75"/>
        <v>0</v>
      </c>
      <c r="G190">
        <f>COUNTIFS('Quote Log'!$C:$C,"&gt;="&amp;DATE(2024,7,21),'Quote Log'!$C:$C,"&lt;="&amp;DATE(2024,7,27),'Quote Log'!$B:$B,"=Purchased")</f>
        <v>0</v>
      </c>
      <c r="H190">
        <f t="shared" si="76"/>
        <v>0</v>
      </c>
      <c r="I190" s="339">
        <f t="shared" si="60"/>
        <v>0</v>
      </c>
      <c r="J190" s="339">
        <f t="shared" si="77"/>
        <v>0</v>
      </c>
      <c r="K190">
        <f>COUNTIFS('Quote Log'!$C:$C,"&gt;="&amp;DATE(2024,7,21),'Quote Log'!$C:$C,"&lt;="&amp;DATE(2024,7,27),'Quote Log'!$B:$B,"=LOST")</f>
        <v>0</v>
      </c>
      <c r="L190">
        <f>COUNTIFS('Quote Log'!$B:$B,"&lt;&gt;VOID",'Quote Log'!$B:$B,"&lt;&gt;Requoted",'Quote Log'!$C:$C,"&gt;="&amp;DATE(2024,7,21),'Quote Log'!$C:$C,"&lt;="&amp;DATE(2024,7,27),'Quote Log'!$V:$V,"=new")</f>
        <v>0</v>
      </c>
      <c r="M190" s="349">
        <f t="shared" si="61"/>
        <v>0</v>
      </c>
      <c r="N190" s="339">
        <f t="shared" si="78"/>
        <v>0</v>
      </c>
      <c r="O190" s="351">
        <f>SUMIFS('Quote Log'!$AB:$AB,'Quote Log'!$C:$C,"&gt;="&amp;DATE(2024,7,21),'Quote Log'!$C:$C,"&lt;="&amp;DATE(2024,7,27),'Quote Log'!$B:$B,"=Purchased",'Quote Log'!$AB:$AB,"&lt;&gt;#VALUE!")</f>
        <v>0</v>
      </c>
      <c r="P190" s="351">
        <f t="shared" si="79"/>
        <v>0</v>
      </c>
      <c r="Q190" s="349" t="e">
        <f t="shared" si="84"/>
        <v>#DIV/0!</v>
      </c>
      <c r="R190" s="349" t="e">
        <f t="shared" si="80"/>
        <v>#DIV/0!</v>
      </c>
      <c r="S190" s="351">
        <f t="shared" si="83"/>
        <v>0</v>
      </c>
      <c r="T190" s="351">
        <f t="shared" si="81"/>
        <v>0</v>
      </c>
      <c r="U190" s="349" t="e">
        <f t="shared" si="85"/>
        <v>#DIV/0!</v>
      </c>
      <c r="V190" s="349" t="e">
        <f t="shared" si="82"/>
        <v>#DIV/0!</v>
      </c>
    </row>
    <row r="191" spans="1:22" x14ac:dyDescent="0.25">
      <c r="A191">
        <v>2024</v>
      </c>
      <c r="B191" s="350">
        <v>31</v>
      </c>
      <c r="C191">
        <f>COUNTIFS('Quote Log'!$B:$B,"&lt;&gt;VOID",'Quote Log'!$B:$B,"&lt;&gt;Requoted",'Quote Log'!$C:$C,"&gt;="&amp;DATE(2024,7,28),'Quote Log'!$C:$C,"&lt;="&amp;DATE(2024,8,3))</f>
        <v>0</v>
      </c>
      <c r="D191">
        <f t="shared" si="74"/>
        <v>0</v>
      </c>
      <c r="E191">
        <f>COUNTIFS('Quote Log'!$B:$B,"&lt;&gt;VOID",'Quote Log'!$B:$B,"&lt;&gt;Requoted",'Quote Log'!$H:$H,"&gt;="&amp;DATE(2024,7,28),'Quote Log'!$H:$H,"&lt;="&amp;DATE(2024,8,3))</f>
        <v>0</v>
      </c>
      <c r="F191">
        <f t="shared" si="75"/>
        <v>0</v>
      </c>
      <c r="G191">
        <f>COUNTIFS('Quote Log'!$C:$C,"&gt;="&amp;DATE(2024,7,28),'Quote Log'!$C:$C,"&lt;="&amp;DATE(2024,8,3),'Quote Log'!$B:$B,"=Purchased")</f>
        <v>0</v>
      </c>
      <c r="H191">
        <f t="shared" si="76"/>
        <v>0</v>
      </c>
      <c r="I191" s="339">
        <f t="shared" si="60"/>
        <v>0</v>
      </c>
      <c r="J191" s="339">
        <f t="shared" si="77"/>
        <v>0</v>
      </c>
      <c r="K191">
        <f>COUNTIFS('Quote Log'!$C:$C,"&gt;="&amp;DATE(2024,7,28),'Quote Log'!$C:$C,"&lt;="&amp;DATE(2024,8,3),'Quote Log'!$B:$B,"=LOST")</f>
        <v>0</v>
      </c>
      <c r="L191">
        <f>COUNTIFS('Quote Log'!$B:$B,"&lt;&gt;VOID",'Quote Log'!$B:$B,"&lt;&gt;Requoted",'Quote Log'!$C:$C,"&gt;="&amp;DATE(2024,7,28),'Quote Log'!$C:$C,"&lt;="&amp;DATE(2024,8,3),'Quote Log'!$V:$V,"=new")</f>
        <v>0</v>
      </c>
      <c r="M191" s="349">
        <f t="shared" si="61"/>
        <v>0</v>
      </c>
      <c r="N191" s="339">
        <f t="shared" si="78"/>
        <v>0</v>
      </c>
      <c r="O191" s="351">
        <f>SUMIFS('Quote Log'!$AB:$AB,'Quote Log'!$C:$C,"&gt;="&amp;DATE(2024,7,28),'Quote Log'!$C:$C,"&lt;="&amp;DATE(2024,8,3),'Quote Log'!$B:$B,"=Purchased",'Quote Log'!$AB:$AB,"&lt;&gt;#VALUE!")</f>
        <v>0</v>
      </c>
      <c r="P191" s="351">
        <f t="shared" si="79"/>
        <v>0</v>
      </c>
      <c r="Q191" s="349" t="e">
        <f t="shared" si="84"/>
        <v>#DIV/0!</v>
      </c>
      <c r="R191" s="349" t="e">
        <f t="shared" si="80"/>
        <v>#DIV/0!</v>
      </c>
      <c r="S191" s="351">
        <f t="shared" si="83"/>
        <v>0</v>
      </c>
      <c r="T191" s="351">
        <f t="shared" si="81"/>
        <v>0</v>
      </c>
      <c r="U191" s="349" t="e">
        <f t="shared" si="85"/>
        <v>#DIV/0!</v>
      </c>
      <c r="V191" s="349" t="e">
        <f t="shared" si="82"/>
        <v>#DIV/0!</v>
      </c>
    </row>
    <row r="192" spans="1:22" x14ac:dyDescent="0.25">
      <c r="A192">
        <v>2024</v>
      </c>
      <c r="B192" s="350">
        <v>32</v>
      </c>
      <c r="C192">
        <f>COUNTIFS('Quote Log'!$B:$B,"&lt;&gt;VOID",'Quote Log'!$B:$B,"&lt;&gt;Requoted",'Quote Log'!$C:$C,"&gt;="&amp;DATE(2024,8,4),'Quote Log'!$C:$C,"&lt;="&amp;DATE(2024,8,10))</f>
        <v>0</v>
      </c>
      <c r="D192">
        <f t="shared" si="74"/>
        <v>0</v>
      </c>
      <c r="E192">
        <f>COUNTIFS('Quote Log'!$B:$B,"&lt;&gt;VOID",'Quote Log'!$B:$B,"&lt;&gt;Requoted",'Quote Log'!$H:$H,"&gt;="&amp;DATE(2024,8,4),'Quote Log'!$H:$H,"&lt;="&amp;DATE(2024,8,10))</f>
        <v>0</v>
      </c>
      <c r="F192">
        <f t="shared" si="75"/>
        <v>0</v>
      </c>
      <c r="G192">
        <f>COUNTIFS('Quote Log'!$C:$C,"&gt;="&amp;DATE(2024,8,4),'Quote Log'!$C:$C,"&lt;="&amp;DATE(2024,8,10),'Quote Log'!$B:$B,"=Purchased")</f>
        <v>0</v>
      </c>
      <c r="H192">
        <f t="shared" si="76"/>
        <v>0</v>
      </c>
      <c r="I192" s="339">
        <f t="shared" si="60"/>
        <v>0</v>
      </c>
      <c r="J192" s="339">
        <f t="shared" si="77"/>
        <v>0</v>
      </c>
      <c r="K192">
        <f>COUNTIFS('Quote Log'!$C:$C,"&gt;="&amp;DATE(2024,8,4),'Quote Log'!$C:$C,"&lt;="&amp;DATE(2024,8,10),'Quote Log'!$B:$B,"=LOST")</f>
        <v>0</v>
      </c>
      <c r="L192">
        <f>COUNTIFS('Quote Log'!$B:$B,"&lt;&gt;VOID",'Quote Log'!$B:$B,"&lt;&gt;Requoted",'Quote Log'!$C:$C,"&gt;="&amp;DATE(2024,8,4),'Quote Log'!$C:$C,"&lt;="&amp;DATE(2024,8,10),'Quote Log'!$V:$V,"=new")</f>
        <v>0</v>
      </c>
      <c r="M192" s="349">
        <f t="shared" si="61"/>
        <v>0</v>
      </c>
      <c r="N192" s="339">
        <f t="shared" si="78"/>
        <v>0</v>
      </c>
      <c r="O192" s="351">
        <f>SUMIFS('Quote Log'!$AB:$AB,'Quote Log'!$C:$C,"&gt;="&amp;DATE(2024,8,4),'Quote Log'!$C:$C,"&lt;="&amp;DATE(2024,8,10),'Quote Log'!$B:$B,"=Purchased",'Quote Log'!$AB:$AB,"&lt;&gt;#VALUE!")</f>
        <v>0</v>
      </c>
      <c r="P192" s="351">
        <f t="shared" si="79"/>
        <v>0</v>
      </c>
      <c r="Q192" s="349" t="e">
        <f t="shared" si="84"/>
        <v>#DIV/0!</v>
      </c>
      <c r="R192" s="349" t="e">
        <f t="shared" si="80"/>
        <v>#DIV/0!</v>
      </c>
      <c r="S192" s="351">
        <f t="shared" si="83"/>
        <v>0</v>
      </c>
      <c r="T192" s="351">
        <f t="shared" si="81"/>
        <v>0</v>
      </c>
      <c r="U192" s="349" t="e">
        <f t="shared" si="85"/>
        <v>#DIV/0!</v>
      </c>
      <c r="V192" s="349" t="e">
        <f t="shared" si="82"/>
        <v>#DIV/0!</v>
      </c>
    </row>
    <row r="193" spans="1:22" x14ac:dyDescent="0.25">
      <c r="A193">
        <v>2024</v>
      </c>
      <c r="B193" s="350">
        <v>33</v>
      </c>
      <c r="C193">
        <f>COUNTIFS('Quote Log'!$B:$B,"&lt;&gt;VOID",'Quote Log'!$B:$B,"&lt;&gt;Requoted",'Quote Log'!$C:$C,"&gt;="&amp;DATE(2024,8,11),'Quote Log'!$C:$C,"&lt;="&amp;DATE(2024,8,17))</f>
        <v>0</v>
      </c>
      <c r="D193">
        <f t="shared" ref="D193:D218" si="86">IF($Z$5,C193,NA())</f>
        <v>0</v>
      </c>
      <c r="E193">
        <f>COUNTIFS('Quote Log'!$B:$B,"&lt;&gt;VOID",'Quote Log'!$B:$B,"&lt;&gt;Requoted",'Quote Log'!$H:$H,"&gt;="&amp;DATE(2024,8,11),'Quote Log'!$H:$H,"&lt;="&amp;DATE(2024,8,17))</f>
        <v>0</v>
      </c>
      <c r="F193">
        <f t="shared" ref="F193:F218" si="87">IF($Z$5,E193,NA())</f>
        <v>0</v>
      </c>
      <c r="G193">
        <f>COUNTIFS('Quote Log'!$C:$C,"&gt;="&amp;DATE(2024,8,11),'Quote Log'!$C:$C,"&lt;="&amp;DATE(2024,8,17),'Quote Log'!$B:$B,"=Purchased")</f>
        <v>0</v>
      </c>
      <c r="H193">
        <f t="shared" ref="H193:H218" si="88">IF(Z$5,G193,NA())</f>
        <v>0</v>
      </c>
      <c r="I193" s="339">
        <f t="shared" si="60"/>
        <v>0</v>
      </c>
      <c r="J193" s="339">
        <f t="shared" ref="J193:J213" si="89">IF($Z$5,I193,NA())</f>
        <v>0</v>
      </c>
      <c r="K193">
        <f>COUNTIFS('Quote Log'!$C:$C,"&gt;="&amp;DATE(2024,8,11),'Quote Log'!$C:$C,"&lt;="&amp;DATE(2024,8,17),'Quote Log'!$B:$B,"=LOST")</f>
        <v>0</v>
      </c>
      <c r="L193">
        <f>COUNTIFS('Quote Log'!$B:$B,"&lt;&gt;VOID",'Quote Log'!$B:$B,"&lt;&gt;Requoted",'Quote Log'!$C:$C,"&gt;="&amp;DATE(2024,8,11),'Quote Log'!$C:$C,"&lt;="&amp;DATE(2024,8,17),'Quote Log'!$V:$V,"=new")</f>
        <v>0</v>
      </c>
      <c r="M193" s="349">
        <f t="shared" si="61"/>
        <v>0</v>
      </c>
      <c r="N193" s="339">
        <f t="shared" ref="N193:N213" si="90">IF($Z$5,M193,NA())</f>
        <v>0</v>
      </c>
      <c r="O193" s="351">
        <f>SUMIFS('Quote Log'!$AB:$AB,'Quote Log'!$C:$C,"&gt;="&amp;DATE(2024,8,11),'Quote Log'!$C:$C,"&lt;="&amp;DATE(2024,8,17),'Quote Log'!$B:$B,"=Purchased",'Quote Log'!$AB:$AB,"&lt;&gt;#VALUE!")</f>
        <v>0</v>
      </c>
      <c r="P193" s="351">
        <f t="shared" ref="P193:P213" si="91">IF($Z$5,O193,NA())</f>
        <v>0</v>
      </c>
      <c r="Q193" s="349" t="e">
        <f t="shared" si="84"/>
        <v>#DIV/0!</v>
      </c>
      <c r="R193" s="349" t="e">
        <f t="shared" ref="R193:R218" si="92">IF($Z$5,Q193,NA())</f>
        <v>#DIV/0!</v>
      </c>
      <c r="S193" s="351">
        <f t="shared" si="83"/>
        <v>0</v>
      </c>
      <c r="T193" s="351">
        <f t="shared" ref="T193:T218" si="93">IF($Z$5,S193,NA())</f>
        <v>0</v>
      </c>
      <c r="U193" s="349" t="e">
        <f t="shared" si="85"/>
        <v>#DIV/0!</v>
      </c>
      <c r="V193" s="349" t="e">
        <f t="shared" ref="V193:V218" si="94">IF($Z$5,U193,NA())</f>
        <v>#DIV/0!</v>
      </c>
    </row>
    <row r="194" spans="1:22" x14ac:dyDescent="0.25">
      <c r="A194">
        <v>2024</v>
      </c>
      <c r="B194" s="350">
        <v>34</v>
      </c>
      <c r="C194">
        <f>COUNTIFS('Quote Log'!$B:$B,"&lt;&gt;VOID",'Quote Log'!$B:$B,"&lt;&gt;Requoted",'Quote Log'!$C:$C,"&gt;="&amp;DATE(2024,8,18),'Quote Log'!$C:$C,"&lt;="&amp;DATE(2024,8,24))</f>
        <v>0</v>
      </c>
      <c r="D194">
        <f t="shared" si="86"/>
        <v>0</v>
      </c>
      <c r="E194">
        <f>COUNTIFS('Quote Log'!$B:$B,"&lt;&gt;VOID",'Quote Log'!$B:$B,"&lt;&gt;Requoted",'Quote Log'!$H:$H,"&gt;="&amp;DATE(2024,8,18),'Quote Log'!$H:$H,"&lt;="&amp;DATE(2024,8,24))</f>
        <v>0</v>
      </c>
      <c r="F194">
        <f t="shared" si="87"/>
        <v>0</v>
      </c>
      <c r="G194">
        <f>COUNTIFS('Quote Log'!$C:$C,"&gt;="&amp;DATE(2024,8,18),'Quote Log'!$C:$C,"&lt;="&amp;DATE(2024,8,24),'Quote Log'!$B:$B,"=Purchased")</f>
        <v>0</v>
      </c>
      <c r="H194">
        <f t="shared" si="88"/>
        <v>0</v>
      </c>
      <c r="I194" s="339">
        <f t="shared" ref="I194:I213" si="95">IF(C194&lt;&gt;0,G194/C194,0)</f>
        <v>0</v>
      </c>
      <c r="J194" s="339">
        <f t="shared" si="89"/>
        <v>0</v>
      </c>
      <c r="K194">
        <f>COUNTIFS('Quote Log'!$C:$C,"&gt;="&amp;DATE(2024,8,18),'Quote Log'!$C:$C,"&lt;="&amp;DATE(2024,8,24),'Quote Log'!$B:$B,"=LOST")</f>
        <v>0</v>
      </c>
      <c r="L194">
        <f>COUNTIFS('Quote Log'!$B:$B,"&lt;&gt;VOID",'Quote Log'!$B:$B,"&lt;&gt;Requoted",'Quote Log'!$C:$C,"&gt;="&amp;DATE(2024,8,18),'Quote Log'!$C:$C,"&lt;="&amp;DATE(2024,8,24),'Quote Log'!$V:$V,"=new")</f>
        <v>0</v>
      </c>
      <c r="M194" s="349">
        <f t="shared" ref="M194:M213" si="96">IF(C194&lt;&gt;0,L194/C194,0)</f>
        <v>0</v>
      </c>
      <c r="N194" s="339">
        <f t="shared" si="90"/>
        <v>0</v>
      </c>
      <c r="O194" s="351">
        <f>SUMIFS('Quote Log'!$AB:$AB,'Quote Log'!$C:$C,"&gt;="&amp;DATE(2024,8,18),'Quote Log'!$C:$C,"&lt;="&amp;DATE(2024,8,24),'Quote Log'!$B:$B,"=Purchased",'Quote Log'!$AB:$AB,"&lt;&gt;#VALUE!")</f>
        <v>0</v>
      </c>
      <c r="P194" s="351">
        <f t="shared" si="91"/>
        <v>0</v>
      </c>
      <c r="Q194" s="349" t="e">
        <f t="shared" si="84"/>
        <v>#DIV/0!</v>
      </c>
      <c r="R194" s="349" t="e">
        <f t="shared" si="92"/>
        <v>#DIV/0!</v>
      </c>
      <c r="S194" s="351">
        <f t="shared" ref="S194:S213" si="97">O194+S193</f>
        <v>0</v>
      </c>
      <c r="T194" s="351">
        <f t="shared" si="93"/>
        <v>0</v>
      </c>
      <c r="U194" s="349" t="e">
        <f t="shared" si="85"/>
        <v>#DIV/0!</v>
      </c>
      <c r="V194" s="349" t="e">
        <f t="shared" si="94"/>
        <v>#DIV/0!</v>
      </c>
    </row>
    <row r="195" spans="1:22" x14ac:dyDescent="0.25">
      <c r="A195">
        <v>2024</v>
      </c>
      <c r="B195" s="350">
        <v>35</v>
      </c>
      <c r="C195">
        <f>COUNTIFS('Quote Log'!$B:$B,"&lt;&gt;VOID",'Quote Log'!$B:$B,"&lt;&gt;Requoted",'Quote Log'!$C:$C,"&gt;="&amp;DATE(2024,8,25),'Quote Log'!$C:$C,"&lt;="&amp;DATE(2024,8,31))</f>
        <v>0</v>
      </c>
      <c r="D195">
        <f t="shared" si="86"/>
        <v>0</v>
      </c>
      <c r="E195">
        <f>COUNTIFS('Quote Log'!$B:$B,"&lt;&gt;VOID",'Quote Log'!$B:$B,"&lt;&gt;Requoted",'Quote Log'!$H:$H,"&gt;="&amp;DATE(2024,8,25),'Quote Log'!$H:$H,"&lt;="&amp;DATE(2024,8,31))</f>
        <v>0</v>
      </c>
      <c r="F195">
        <f t="shared" si="87"/>
        <v>0</v>
      </c>
      <c r="G195">
        <f>COUNTIFS('Quote Log'!$C:$C,"&gt;="&amp;DATE(2024,8,25),'Quote Log'!$C:$C,"&lt;="&amp;DATE(2024,8,31),'Quote Log'!$B:$B,"=Purchased")</f>
        <v>0</v>
      </c>
      <c r="H195">
        <f t="shared" si="88"/>
        <v>0</v>
      </c>
      <c r="I195" s="339">
        <f t="shared" si="95"/>
        <v>0</v>
      </c>
      <c r="J195" s="339">
        <f t="shared" si="89"/>
        <v>0</v>
      </c>
      <c r="K195">
        <f>COUNTIFS('Quote Log'!$C:$C,"&gt;="&amp;DATE(2024,8,25),'Quote Log'!$C:$C,"&lt;="&amp;DATE(2024,8,31),'Quote Log'!$B:$B,"=LOST")</f>
        <v>0</v>
      </c>
      <c r="L195">
        <f>COUNTIFS('Quote Log'!$B:$B,"&lt;&gt;VOID",'Quote Log'!$B:$B,"&lt;&gt;Requoted",'Quote Log'!$C:$C,"&gt;="&amp;DATE(2024,8,25),'Quote Log'!$C:$C,"&lt;="&amp;DATE(2024,8,31),'Quote Log'!$V:$V,"=new")</f>
        <v>0</v>
      </c>
      <c r="M195" s="349">
        <f t="shared" si="96"/>
        <v>0</v>
      </c>
      <c r="N195" s="339">
        <f t="shared" si="90"/>
        <v>0</v>
      </c>
      <c r="O195" s="351">
        <f>SUMIFS('Quote Log'!$AB:$AB,'Quote Log'!$C:$C,"&gt;="&amp;DATE(2024,8,25),'Quote Log'!$C:$C,"&lt;="&amp;DATE(2024,8,31),'Quote Log'!$B:$B,"=Purchased",'Quote Log'!$AB:$AB,"&lt;&gt;#VALUE!")</f>
        <v>0</v>
      </c>
      <c r="P195" s="351">
        <f t="shared" si="91"/>
        <v>0</v>
      </c>
      <c r="Q195" s="349" t="e">
        <f t="shared" si="84"/>
        <v>#DIV/0!</v>
      </c>
      <c r="R195" s="349" t="e">
        <f t="shared" si="92"/>
        <v>#DIV/0!</v>
      </c>
      <c r="S195" s="351">
        <f t="shared" si="97"/>
        <v>0</v>
      </c>
      <c r="T195" s="351">
        <f t="shared" si="93"/>
        <v>0</v>
      </c>
      <c r="U195" s="349" t="e">
        <f t="shared" si="85"/>
        <v>#DIV/0!</v>
      </c>
      <c r="V195" s="349" t="e">
        <f t="shared" si="94"/>
        <v>#DIV/0!</v>
      </c>
    </row>
    <row r="196" spans="1:22" x14ac:dyDescent="0.25">
      <c r="A196">
        <v>2024</v>
      </c>
      <c r="B196" s="350">
        <v>36</v>
      </c>
      <c r="C196">
        <f>COUNTIFS('Quote Log'!$B:$B,"&lt;&gt;VOID",'Quote Log'!$B:$B,"&lt;&gt;Requoted",'Quote Log'!$C:$C,"&gt;="&amp;DATE(2024,9,1),'Quote Log'!$C:$C,"&lt;="&amp;DATE(2024,9,7))</f>
        <v>0</v>
      </c>
      <c r="D196">
        <f t="shared" si="86"/>
        <v>0</v>
      </c>
      <c r="E196">
        <f>COUNTIFS('Quote Log'!$B:$B,"&lt;&gt;VOID",'Quote Log'!$B:$B,"&lt;&gt;Requoted",'Quote Log'!$H:$H,"&gt;="&amp;DATE(2024,9,1),'Quote Log'!$H:$H,"&lt;="&amp;DATE(2024,9,7))</f>
        <v>0</v>
      </c>
      <c r="F196">
        <f t="shared" si="87"/>
        <v>0</v>
      </c>
      <c r="G196">
        <f>COUNTIFS('Quote Log'!$C:$C,"&gt;="&amp;DATE(2024,9,1),'Quote Log'!$C:$C,"&lt;="&amp;DATE(2024,9,7),'Quote Log'!$B:$B,"=Purchased")</f>
        <v>0</v>
      </c>
      <c r="H196">
        <f t="shared" si="88"/>
        <v>0</v>
      </c>
      <c r="I196" s="339">
        <f t="shared" si="95"/>
        <v>0</v>
      </c>
      <c r="J196" s="339">
        <f t="shared" si="89"/>
        <v>0</v>
      </c>
      <c r="K196">
        <f>COUNTIFS('Quote Log'!$C:$C,"&gt;="&amp;DATE(2024,9,1),'Quote Log'!$C:$C,"&lt;="&amp;DATE(2024,9,7),'Quote Log'!$B:$B,"=LOST")</f>
        <v>0</v>
      </c>
      <c r="L196">
        <f>COUNTIFS('Quote Log'!$B:$B,"&lt;&gt;VOID",'Quote Log'!$B:$B,"&lt;&gt;Requoted",'Quote Log'!$C:$C,"&gt;="&amp;DATE(2024,9,1),'Quote Log'!$C:$C,"&lt;="&amp;DATE(2024,9,7),'Quote Log'!$V:$V,"=new")</f>
        <v>0</v>
      </c>
      <c r="M196" s="349">
        <f t="shared" si="96"/>
        <v>0</v>
      </c>
      <c r="N196" s="339">
        <f t="shared" si="90"/>
        <v>0</v>
      </c>
      <c r="O196" s="351">
        <f>SUMIFS('Quote Log'!$AB:$AB,'Quote Log'!$C:$C,"&gt;="&amp;DATE(2024,9,1),'Quote Log'!$C:$C,"&lt;="&amp;DATE(2024,9,7),'Quote Log'!$B:$B,"=Purchased",'Quote Log'!$AB:$AB,"&lt;&gt;#VALUE!")</f>
        <v>0</v>
      </c>
      <c r="P196" s="351">
        <f t="shared" si="91"/>
        <v>0</v>
      </c>
      <c r="Q196" s="349" t="e">
        <f t="shared" si="84"/>
        <v>#DIV/0!</v>
      </c>
      <c r="R196" s="349" t="e">
        <f t="shared" si="92"/>
        <v>#DIV/0!</v>
      </c>
      <c r="S196" s="351">
        <f t="shared" si="97"/>
        <v>0</v>
      </c>
      <c r="T196" s="351">
        <f t="shared" si="93"/>
        <v>0</v>
      </c>
      <c r="U196" s="349" t="e">
        <f t="shared" si="85"/>
        <v>#DIV/0!</v>
      </c>
      <c r="V196" s="349" t="e">
        <f t="shared" si="94"/>
        <v>#DIV/0!</v>
      </c>
    </row>
    <row r="197" spans="1:22" x14ac:dyDescent="0.25">
      <c r="A197">
        <v>2024</v>
      </c>
      <c r="B197" s="350">
        <v>37</v>
      </c>
      <c r="C197">
        <f>COUNTIFS('Quote Log'!$B:$B,"&lt;&gt;VOID",'Quote Log'!$B:$B,"&lt;&gt;Requoted",'Quote Log'!$C:$C,"&gt;="&amp;DATE(2024,9,8),'Quote Log'!$C:$C,"&lt;="&amp;DATE(2024,9,14))</f>
        <v>0</v>
      </c>
      <c r="D197">
        <f t="shared" si="86"/>
        <v>0</v>
      </c>
      <c r="E197">
        <f>COUNTIFS('Quote Log'!$B:$B,"&lt;&gt;VOID",'Quote Log'!$B:$B,"&lt;&gt;Requoted",'Quote Log'!$H:$H,"&gt;="&amp;DATE(2024,9,8),'Quote Log'!$H:$H,"&lt;="&amp;DATE(2024,9,14))</f>
        <v>0</v>
      </c>
      <c r="F197">
        <f t="shared" si="87"/>
        <v>0</v>
      </c>
      <c r="G197">
        <f>COUNTIFS('Quote Log'!$C:$C,"&gt;="&amp;DATE(2024,9,8),'Quote Log'!$C:$C,"&lt;="&amp;DATE(2024,9,14),'Quote Log'!$B:$B,"=Purchased")</f>
        <v>0</v>
      </c>
      <c r="H197">
        <f t="shared" si="88"/>
        <v>0</v>
      </c>
      <c r="I197" s="339">
        <f t="shared" si="95"/>
        <v>0</v>
      </c>
      <c r="J197" s="339">
        <f t="shared" si="89"/>
        <v>0</v>
      </c>
      <c r="K197">
        <f>COUNTIFS('Quote Log'!$C:$C,"&gt;="&amp;DATE(2024,9,8),'Quote Log'!$C:$C,"&lt;="&amp;DATE(2024,9,14),'Quote Log'!$B:$B,"=LOST")</f>
        <v>0</v>
      </c>
      <c r="L197">
        <f>COUNTIFS('Quote Log'!$B:$B,"&lt;&gt;VOID",'Quote Log'!$B:$B,"&lt;&gt;Requoted",'Quote Log'!$C:$C,"&gt;="&amp;DATE(2024,9,8),'Quote Log'!$C:$C,"&lt;="&amp;DATE(2024,9,14),'Quote Log'!$V:$V,"=new")</f>
        <v>0</v>
      </c>
      <c r="M197" s="349">
        <f t="shared" si="96"/>
        <v>0</v>
      </c>
      <c r="N197" s="339">
        <f t="shared" si="90"/>
        <v>0</v>
      </c>
      <c r="O197" s="351">
        <f>SUMIFS('Quote Log'!$AB:$AB,'Quote Log'!$C:$C,"&gt;="&amp;DATE(2024,9,8),'Quote Log'!$C:$C,"&lt;="&amp;DATE(2024,9,14),'Quote Log'!$B:$B,"=Purchased",'Quote Log'!$AB:$AB,"&lt;&gt;#VALUE!")</f>
        <v>0</v>
      </c>
      <c r="P197" s="351">
        <f t="shared" si="91"/>
        <v>0</v>
      </c>
      <c r="Q197" s="349" t="e">
        <f t="shared" si="84"/>
        <v>#DIV/0!</v>
      </c>
      <c r="R197" s="349" t="e">
        <f t="shared" si="92"/>
        <v>#DIV/0!</v>
      </c>
      <c r="S197" s="351">
        <f t="shared" si="97"/>
        <v>0</v>
      </c>
      <c r="T197" s="351">
        <f t="shared" si="93"/>
        <v>0</v>
      </c>
      <c r="U197" s="349" t="e">
        <f t="shared" si="85"/>
        <v>#DIV/0!</v>
      </c>
      <c r="V197" s="349" t="e">
        <f t="shared" si="94"/>
        <v>#DIV/0!</v>
      </c>
    </row>
    <row r="198" spans="1:22" x14ac:dyDescent="0.25">
      <c r="A198">
        <v>2024</v>
      </c>
      <c r="B198" s="350">
        <v>38</v>
      </c>
      <c r="C198">
        <f>COUNTIFS('Quote Log'!$B:$B,"&lt;&gt;VOID",'Quote Log'!$B:$B,"&lt;&gt;Requoted",'Quote Log'!$C:$C,"&gt;="&amp;DATE(2024,9,15),'Quote Log'!$C:$C,"&lt;="&amp;DATE(2024,9,21))</f>
        <v>0</v>
      </c>
      <c r="D198">
        <f t="shared" si="86"/>
        <v>0</v>
      </c>
      <c r="E198">
        <f>COUNTIFS('Quote Log'!$B:$B,"&lt;&gt;VOID",'Quote Log'!$B:$B,"&lt;&gt;Requoted",'Quote Log'!$H:$H,"&gt;="&amp;DATE(2024,9,15),'Quote Log'!$H:$H,"&lt;="&amp;DATE(2024,9,21))</f>
        <v>0</v>
      </c>
      <c r="F198">
        <f t="shared" si="87"/>
        <v>0</v>
      </c>
      <c r="G198">
        <f>COUNTIFS('Quote Log'!$C:$C,"&gt;="&amp;DATE(2024,9,15),'Quote Log'!$C:$C,"&lt;="&amp;DATE(2024,9,21),'Quote Log'!$B:$B,"=Purchased")</f>
        <v>0</v>
      </c>
      <c r="H198">
        <f t="shared" si="88"/>
        <v>0</v>
      </c>
      <c r="I198" s="339">
        <f t="shared" si="95"/>
        <v>0</v>
      </c>
      <c r="J198" s="339">
        <f t="shared" si="89"/>
        <v>0</v>
      </c>
      <c r="K198">
        <f>COUNTIFS('Quote Log'!$C:$C,"&gt;="&amp;DATE(2024,9,15),'Quote Log'!$C:$C,"&lt;="&amp;DATE(2024,9,21),'Quote Log'!$B:$B,"=LOST")</f>
        <v>0</v>
      </c>
      <c r="L198">
        <f>COUNTIFS('Quote Log'!$B:$B,"&lt;&gt;VOID",'Quote Log'!$B:$B,"&lt;&gt;Requoted",'Quote Log'!$C:$C,"&gt;="&amp;DATE(2024,9,15),'Quote Log'!$C:$C,"&lt;="&amp;DATE(2024,9,21),'Quote Log'!$V:$V,"=new")</f>
        <v>0</v>
      </c>
      <c r="M198" s="349">
        <f t="shared" si="96"/>
        <v>0</v>
      </c>
      <c r="N198" s="339">
        <f t="shared" si="90"/>
        <v>0</v>
      </c>
      <c r="O198" s="351">
        <f>SUMIFS('Quote Log'!$AB:$AB,'Quote Log'!$C:$C,"&gt;="&amp;DATE(2024,9,15),'Quote Log'!$C:$C,"&lt;="&amp;DATE(2024,9,21),'Quote Log'!$B:$B,"=Purchased",'Quote Log'!$AB:$AB,"&lt;&gt;#VALUE!")</f>
        <v>0</v>
      </c>
      <c r="P198" s="351">
        <f t="shared" si="91"/>
        <v>0</v>
      </c>
      <c r="Q198" s="349" t="e">
        <f t="shared" si="84"/>
        <v>#DIV/0!</v>
      </c>
      <c r="R198" s="349" t="e">
        <f t="shared" si="92"/>
        <v>#DIV/0!</v>
      </c>
      <c r="S198" s="351">
        <f t="shared" si="97"/>
        <v>0</v>
      </c>
      <c r="T198" s="351">
        <f t="shared" si="93"/>
        <v>0</v>
      </c>
      <c r="U198" s="349" t="e">
        <f t="shared" si="85"/>
        <v>#DIV/0!</v>
      </c>
      <c r="V198" s="349" t="e">
        <f t="shared" si="94"/>
        <v>#DIV/0!</v>
      </c>
    </row>
    <row r="199" spans="1:22" x14ac:dyDescent="0.25">
      <c r="A199">
        <v>2024</v>
      </c>
      <c r="B199" s="350">
        <v>39</v>
      </c>
      <c r="C199">
        <f>COUNTIFS('Quote Log'!$B:$B,"&lt;&gt;VOID",'Quote Log'!$B:$B,"&lt;&gt;Requoted",'Quote Log'!$C:$C,"&gt;="&amp;DATE(2024,9,22),'Quote Log'!$C:$C,"&lt;="&amp;DATE(2024,9,28))</f>
        <v>0</v>
      </c>
      <c r="D199">
        <f t="shared" si="86"/>
        <v>0</v>
      </c>
      <c r="E199">
        <f>COUNTIFS('Quote Log'!$B:$B,"&lt;&gt;VOID",'Quote Log'!$B:$B,"&lt;&gt;Requoted",'Quote Log'!$H:$H,"&gt;="&amp;DATE(2024,9,22),'Quote Log'!$H:$H,"&lt;="&amp;DATE(2024,9,28))</f>
        <v>0</v>
      </c>
      <c r="F199">
        <f t="shared" si="87"/>
        <v>0</v>
      </c>
      <c r="G199">
        <f>COUNTIFS('Quote Log'!$C:$C,"&gt;="&amp;DATE(2024,9,22),'Quote Log'!$C:$C,"&lt;="&amp;DATE(2024,9,28),'Quote Log'!$B:$B,"=Purchased")</f>
        <v>0</v>
      </c>
      <c r="H199">
        <f t="shared" si="88"/>
        <v>0</v>
      </c>
      <c r="I199" s="339">
        <f t="shared" si="95"/>
        <v>0</v>
      </c>
      <c r="J199" s="339">
        <f t="shared" si="89"/>
        <v>0</v>
      </c>
      <c r="K199">
        <f>COUNTIFS('Quote Log'!$C:$C,"&gt;="&amp;DATE(2024,9,22),'Quote Log'!$C:$C,"&lt;="&amp;DATE(2024,9,28),'Quote Log'!$B:$B,"=LOST")</f>
        <v>0</v>
      </c>
      <c r="L199">
        <f>COUNTIFS('Quote Log'!$B:$B,"&lt;&gt;VOID",'Quote Log'!$B:$B,"&lt;&gt;Requoted",'Quote Log'!$C:$C,"&gt;="&amp;DATE(2024,9,22),'Quote Log'!$C:$C,"&lt;="&amp;DATE(2024,9,28),'Quote Log'!$V:$V,"=new")</f>
        <v>0</v>
      </c>
      <c r="M199" s="349">
        <f t="shared" si="96"/>
        <v>0</v>
      </c>
      <c r="N199" s="339">
        <f t="shared" si="90"/>
        <v>0</v>
      </c>
      <c r="O199" s="351">
        <f>SUMIFS('Quote Log'!$AB:$AB,'Quote Log'!$C:$C,"&gt;="&amp;DATE(2024,9,22),'Quote Log'!$C:$C,"&lt;="&amp;DATE(2024,9,28),'Quote Log'!$B:$B,"=Purchased",'Quote Log'!$AB:$AB,"&lt;&gt;#VALUE!")</f>
        <v>0</v>
      </c>
      <c r="P199" s="351">
        <f t="shared" si="91"/>
        <v>0</v>
      </c>
      <c r="Q199" s="349" t="e">
        <f t="shared" si="84"/>
        <v>#DIV/0!</v>
      </c>
      <c r="R199" s="349" t="e">
        <f t="shared" si="92"/>
        <v>#DIV/0!</v>
      </c>
      <c r="S199" s="351">
        <f t="shared" si="97"/>
        <v>0</v>
      </c>
      <c r="T199" s="351">
        <f t="shared" si="93"/>
        <v>0</v>
      </c>
      <c r="U199" s="349" t="e">
        <f t="shared" si="85"/>
        <v>#DIV/0!</v>
      </c>
      <c r="V199" s="349" t="e">
        <f t="shared" si="94"/>
        <v>#DIV/0!</v>
      </c>
    </row>
    <row r="200" spans="1:22" x14ac:dyDescent="0.25">
      <c r="A200">
        <v>2024</v>
      </c>
      <c r="B200" s="350">
        <v>40</v>
      </c>
      <c r="C200">
        <f>COUNTIFS('Quote Log'!$B:$B,"&lt;&gt;VOID",'Quote Log'!$B:$B,"&lt;&gt;Requoted",'Quote Log'!$C:$C,"&gt;="&amp;DATE(2024,9,29),'Quote Log'!$C:$C,"&lt;="&amp;DATE(2024,10,5))</f>
        <v>0</v>
      </c>
      <c r="D200">
        <f t="shared" si="86"/>
        <v>0</v>
      </c>
      <c r="E200">
        <f>COUNTIFS('Quote Log'!$B:$B,"&lt;&gt;VOID",'Quote Log'!$B:$B,"&lt;&gt;Requoted",'Quote Log'!$H:$H,"&gt;="&amp;DATE(2024,9,29),'Quote Log'!$H:$H,"&lt;="&amp;DATE(2024,10,5))</f>
        <v>0</v>
      </c>
      <c r="F200">
        <f t="shared" si="87"/>
        <v>0</v>
      </c>
      <c r="G200">
        <f>COUNTIFS('Quote Log'!$C:$C,"&gt;="&amp;DATE(2024,9,29),'Quote Log'!$C:$C,"&lt;="&amp;DATE(2024,10,5),'Quote Log'!$B:$B,"=Purchased")</f>
        <v>0</v>
      </c>
      <c r="H200">
        <f t="shared" si="88"/>
        <v>0</v>
      </c>
      <c r="I200" s="339">
        <f t="shared" si="95"/>
        <v>0</v>
      </c>
      <c r="J200" s="339">
        <f t="shared" si="89"/>
        <v>0</v>
      </c>
      <c r="K200">
        <f>COUNTIFS('Quote Log'!$C:$C,"&gt;="&amp;DATE(2024,9,29),'Quote Log'!$C:$C,"&lt;="&amp;DATE(2024,10,5),'Quote Log'!$B:$B,"=LOST")</f>
        <v>0</v>
      </c>
      <c r="L200">
        <f>COUNTIFS('Quote Log'!$B:$B,"&lt;&gt;VOID",'Quote Log'!$B:$B,"&lt;&gt;Requoted",'Quote Log'!$C:$C,"&gt;="&amp;DATE(2024,9,29),'Quote Log'!$C:$C,"&lt;="&amp;DATE(2024,10,5),'Quote Log'!$V:$V,"=new")</f>
        <v>0</v>
      </c>
      <c r="M200" s="349">
        <f t="shared" si="96"/>
        <v>0</v>
      </c>
      <c r="N200" s="339">
        <f t="shared" si="90"/>
        <v>0</v>
      </c>
      <c r="O200" s="351">
        <f>SUMIFS('Quote Log'!$AB:$AB,'Quote Log'!$C:$C,"&gt;="&amp;DATE(2024,9,29),'Quote Log'!$C:$C,"&lt;="&amp;DATE(2024,10,5),'Quote Log'!$B:$B,"=Purchased",'Quote Log'!$AB:$AB,"&lt;&gt;#VALUE!")</f>
        <v>0</v>
      </c>
      <c r="P200" s="351">
        <f t="shared" si="91"/>
        <v>0</v>
      </c>
      <c r="Q200" s="349" t="e">
        <f t="shared" si="84"/>
        <v>#DIV/0!</v>
      </c>
      <c r="R200" s="349" t="e">
        <f t="shared" si="92"/>
        <v>#DIV/0!</v>
      </c>
      <c r="S200" s="351">
        <f t="shared" si="97"/>
        <v>0</v>
      </c>
      <c r="T200" s="351">
        <f t="shared" si="93"/>
        <v>0</v>
      </c>
      <c r="U200" s="349" t="e">
        <f t="shared" si="85"/>
        <v>#DIV/0!</v>
      </c>
      <c r="V200" s="349" t="e">
        <f t="shared" si="94"/>
        <v>#DIV/0!</v>
      </c>
    </row>
    <row r="201" spans="1:22" x14ac:dyDescent="0.25">
      <c r="A201">
        <v>2024</v>
      </c>
      <c r="B201" s="350">
        <v>41</v>
      </c>
      <c r="C201">
        <f>COUNTIFS('Quote Log'!$B:$B,"&lt;&gt;VOID",'Quote Log'!$B:$B,"&lt;&gt;Requoted",'Quote Log'!$C:$C,"&gt;="&amp;DATE(2024,10,6),'Quote Log'!$C:$C,"&lt;="&amp;DATE(2024,10,12))</f>
        <v>0</v>
      </c>
      <c r="D201">
        <f t="shared" si="86"/>
        <v>0</v>
      </c>
      <c r="E201">
        <f>COUNTIFS('Quote Log'!$B:$B,"&lt;&gt;VOID",'Quote Log'!$B:$B,"&lt;&gt;Requoted",'Quote Log'!$H:$H,"&gt;="&amp;DATE(2024,10,6),'Quote Log'!$H:$H,"&lt;="&amp;DATE(2024,10,12))</f>
        <v>0</v>
      </c>
      <c r="F201">
        <f t="shared" si="87"/>
        <v>0</v>
      </c>
      <c r="G201">
        <f>COUNTIFS('Quote Log'!$C:$C,"&gt;="&amp;DATE(2024,10,6),'Quote Log'!$C:$C,"&lt;="&amp;DATE(2024,10,12),'Quote Log'!$B:$B,"=Purchased")</f>
        <v>0</v>
      </c>
      <c r="H201">
        <f t="shared" si="88"/>
        <v>0</v>
      </c>
      <c r="I201" s="339">
        <f t="shared" si="95"/>
        <v>0</v>
      </c>
      <c r="J201" s="339">
        <f t="shared" si="89"/>
        <v>0</v>
      </c>
      <c r="K201">
        <f>COUNTIFS('Quote Log'!$C:$C,"&gt;="&amp;DATE(2024,10,6),'Quote Log'!$C:$C,"&lt;="&amp;DATE(2024,10,12),'Quote Log'!$B:$B,"=LOST")</f>
        <v>0</v>
      </c>
      <c r="L201">
        <f>COUNTIFS('Quote Log'!$B:$B,"&lt;&gt;VOID",'Quote Log'!$B:$B,"&lt;&gt;Requoted",'Quote Log'!$C:$C,"&gt;="&amp;DATE(2024,10,6),'Quote Log'!$C:$C,"&lt;="&amp;DATE(2024,10,12),'Quote Log'!$V:$V,"=new")</f>
        <v>0</v>
      </c>
      <c r="M201" s="349">
        <f t="shared" si="96"/>
        <v>0</v>
      </c>
      <c r="N201" s="339">
        <f t="shared" si="90"/>
        <v>0</v>
      </c>
      <c r="O201" s="351">
        <f>SUMIFS('Quote Log'!$AB:$AB,'Quote Log'!$C:$C,"&gt;="&amp;DATE(2024,10,6),'Quote Log'!$C:$C,"&lt;="&amp;DATE(2024,10,12),'Quote Log'!$B:$B,"=Purchased",'Quote Log'!$AB:$AB,"&lt;&gt;#VALUE!")</f>
        <v>0</v>
      </c>
      <c r="P201" s="351">
        <f t="shared" si="91"/>
        <v>0</v>
      </c>
      <c r="Q201" s="349" t="e">
        <f t="shared" si="84"/>
        <v>#DIV/0!</v>
      </c>
      <c r="R201" s="349" t="e">
        <f t="shared" si="92"/>
        <v>#DIV/0!</v>
      </c>
      <c r="S201" s="351">
        <f t="shared" si="97"/>
        <v>0</v>
      </c>
      <c r="T201" s="351">
        <f t="shared" si="93"/>
        <v>0</v>
      </c>
      <c r="U201" s="349" t="e">
        <f t="shared" si="85"/>
        <v>#DIV/0!</v>
      </c>
      <c r="V201" s="349" t="e">
        <f t="shared" si="94"/>
        <v>#DIV/0!</v>
      </c>
    </row>
    <row r="202" spans="1:22" x14ac:dyDescent="0.25">
      <c r="A202">
        <v>2024</v>
      </c>
      <c r="B202" s="350">
        <v>42</v>
      </c>
      <c r="C202">
        <f>COUNTIFS('Quote Log'!$B:$B,"&lt;&gt;VOID",'Quote Log'!$B:$B,"&lt;&gt;Requoted",'Quote Log'!$C:$C,"&gt;="&amp;DATE(2024,10,13),'Quote Log'!$C:$C,"&lt;="&amp;DATE(2024,10,19))</f>
        <v>0</v>
      </c>
      <c r="D202">
        <f t="shared" si="86"/>
        <v>0</v>
      </c>
      <c r="E202">
        <f>COUNTIFS('Quote Log'!$B:$B,"&lt;&gt;VOID",'Quote Log'!$B:$B,"&lt;&gt;Requoted",'Quote Log'!$H:$H,"&gt;="&amp;DATE(2024,10,13),'Quote Log'!$H:$H,"&lt;="&amp;DATE(2024,10,19))</f>
        <v>0</v>
      </c>
      <c r="F202">
        <f t="shared" si="87"/>
        <v>0</v>
      </c>
      <c r="G202">
        <f>COUNTIFS('Quote Log'!$C:$C,"&gt;="&amp;DATE(2024,10,13),'Quote Log'!$C:$C,"&lt;="&amp;DATE(2024,10,19),'Quote Log'!$B:$B,"=Purchased")</f>
        <v>0</v>
      </c>
      <c r="H202">
        <f t="shared" si="88"/>
        <v>0</v>
      </c>
      <c r="I202" s="339">
        <f t="shared" si="95"/>
        <v>0</v>
      </c>
      <c r="J202" s="339">
        <f t="shared" si="89"/>
        <v>0</v>
      </c>
      <c r="K202">
        <f>COUNTIFS('Quote Log'!$C:$C,"&gt;="&amp;DATE(2024,10,13),'Quote Log'!$C:$C,"&lt;="&amp;DATE(2024,10,19),'Quote Log'!$B:$B,"=LOST")</f>
        <v>0</v>
      </c>
      <c r="L202">
        <f>COUNTIFS('Quote Log'!$B:$B,"&lt;&gt;VOID",'Quote Log'!$B:$B,"&lt;&gt;Requoted",'Quote Log'!$C:$C,"&gt;="&amp;DATE(2024,10,13),'Quote Log'!$C:$C,"&lt;="&amp;DATE(2024,10,19),'Quote Log'!$V:$V,"=new")</f>
        <v>0</v>
      </c>
      <c r="M202" s="349">
        <f t="shared" si="96"/>
        <v>0</v>
      </c>
      <c r="N202" s="339">
        <f t="shared" si="90"/>
        <v>0</v>
      </c>
      <c r="O202" s="351">
        <f>SUMIFS('Quote Log'!$AB:$AB,'Quote Log'!$C:$C,"&gt;="&amp;DATE(2024,10,13),'Quote Log'!$C:$C,"&lt;="&amp;DATE(2024,10,19),'Quote Log'!$B:$B,"=Purchased",'Quote Log'!$AB:$AB,"&lt;&gt;#VALUE!")</f>
        <v>0</v>
      </c>
      <c r="P202" s="351">
        <f t="shared" si="91"/>
        <v>0</v>
      </c>
      <c r="Q202" s="349" t="e">
        <f t="shared" si="84"/>
        <v>#DIV/0!</v>
      </c>
      <c r="R202" s="349" t="e">
        <f t="shared" si="92"/>
        <v>#DIV/0!</v>
      </c>
      <c r="S202" s="351">
        <f t="shared" si="97"/>
        <v>0</v>
      </c>
      <c r="T202" s="351">
        <f t="shared" si="93"/>
        <v>0</v>
      </c>
      <c r="U202" s="349" t="e">
        <f t="shared" si="85"/>
        <v>#DIV/0!</v>
      </c>
      <c r="V202" s="349" t="e">
        <f t="shared" si="94"/>
        <v>#DIV/0!</v>
      </c>
    </row>
    <row r="203" spans="1:22" x14ac:dyDescent="0.25">
      <c r="A203">
        <v>2024</v>
      </c>
      <c r="B203" s="350">
        <v>43</v>
      </c>
      <c r="C203">
        <f>COUNTIFS('Quote Log'!$B:$B,"&lt;&gt;VOID",'Quote Log'!$B:$B,"&lt;&gt;Requoted",'Quote Log'!$C:$C,"&gt;="&amp;DATE(2024,10,20),'Quote Log'!$C:$C,"&lt;="&amp;DATE(2024,10,26))</f>
        <v>0</v>
      </c>
      <c r="D203">
        <f t="shared" si="86"/>
        <v>0</v>
      </c>
      <c r="E203">
        <f>COUNTIFS('Quote Log'!$B:$B,"&lt;&gt;VOID",'Quote Log'!$B:$B,"&lt;&gt;Requoted",'Quote Log'!$H:$H,"&gt;="&amp;DATE(2024,10,20),'Quote Log'!$H:$H,"&lt;="&amp;DATE(2024,10,26))</f>
        <v>0</v>
      </c>
      <c r="F203">
        <f t="shared" si="87"/>
        <v>0</v>
      </c>
      <c r="G203">
        <f>COUNTIFS('Quote Log'!$C:$C,"&gt;="&amp;DATE(2024,10,20),'Quote Log'!$C:$C,"&lt;="&amp;DATE(2024,10,26),'Quote Log'!$B:$B,"=Purchased")</f>
        <v>0</v>
      </c>
      <c r="H203">
        <f t="shared" si="88"/>
        <v>0</v>
      </c>
      <c r="I203" s="339">
        <f t="shared" si="95"/>
        <v>0</v>
      </c>
      <c r="J203" s="339">
        <f t="shared" si="89"/>
        <v>0</v>
      </c>
      <c r="K203">
        <f>COUNTIFS('Quote Log'!$C:$C,"&gt;="&amp;DATE(2024,10,20),'Quote Log'!$C:$C,"&lt;="&amp;DATE(2024,10,26),'Quote Log'!$B:$B,"=LOST")</f>
        <v>0</v>
      </c>
      <c r="L203">
        <f>COUNTIFS('Quote Log'!$B:$B,"&lt;&gt;VOID",'Quote Log'!$B:$B,"&lt;&gt;Requoted",'Quote Log'!$C:$C,"&gt;="&amp;DATE(2024,10,20),'Quote Log'!$C:$C,"&lt;="&amp;DATE(2024,10,26),'Quote Log'!$V:$V,"=new")</f>
        <v>0</v>
      </c>
      <c r="M203" s="349">
        <f t="shared" si="96"/>
        <v>0</v>
      </c>
      <c r="N203" s="339">
        <f t="shared" si="90"/>
        <v>0</v>
      </c>
      <c r="O203" s="351">
        <f>SUMIFS('Quote Log'!$AB:$AB,'Quote Log'!$C:$C,"&gt;="&amp;DATE(2024,10,20),'Quote Log'!$C:$C,"&lt;="&amp;DATE(2024,10,26),'Quote Log'!$B:$B,"=Purchased",'Quote Log'!$AB:$AB,"&lt;&gt;#VALUE!")</f>
        <v>0</v>
      </c>
      <c r="P203" s="351">
        <f t="shared" si="91"/>
        <v>0</v>
      </c>
      <c r="Q203" s="349" t="e">
        <f t="shared" si="84"/>
        <v>#DIV/0!</v>
      </c>
      <c r="R203" s="349" t="e">
        <f t="shared" si="92"/>
        <v>#DIV/0!</v>
      </c>
      <c r="S203" s="351">
        <f t="shared" si="97"/>
        <v>0</v>
      </c>
      <c r="T203" s="351">
        <f t="shared" si="93"/>
        <v>0</v>
      </c>
      <c r="U203" s="349" t="e">
        <f t="shared" si="85"/>
        <v>#DIV/0!</v>
      </c>
      <c r="V203" s="349" t="e">
        <f t="shared" si="94"/>
        <v>#DIV/0!</v>
      </c>
    </row>
    <row r="204" spans="1:22" x14ac:dyDescent="0.25">
      <c r="A204">
        <v>2024</v>
      </c>
      <c r="B204" s="350">
        <v>44</v>
      </c>
      <c r="C204">
        <f>COUNTIFS('Quote Log'!$B:$B,"&lt;&gt;VOID",'Quote Log'!$B:$B,"&lt;&gt;Requoted",'Quote Log'!$C:$C,"&gt;="&amp;DATE(2024,10,27),'Quote Log'!$C:$C,"&lt;="&amp;DATE(2024,11,2))</f>
        <v>0</v>
      </c>
      <c r="D204">
        <f t="shared" si="86"/>
        <v>0</v>
      </c>
      <c r="E204">
        <f>COUNTIFS('Quote Log'!$B:$B,"&lt;&gt;VOID",'Quote Log'!$B:$B,"&lt;&gt;Requoted",'Quote Log'!$H:$H,"&gt;="&amp;DATE(2024,10,27),'Quote Log'!$H:$H,"&lt;="&amp;DATE(2024,11,2))</f>
        <v>0</v>
      </c>
      <c r="F204">
        <f t="shared" si="87"/>
        <v>0</v>
      </c>
      <c r="G204">
        <f>COUNTIFS('Quote Log'!$C:$C,"&gt;="&amp;DATE(2024,10,27),'Quote Log'!$C:$C,"&lt;="&amp;DATE(2024,11,2),'Quote Log'!$B:$B,"=Purchased")</f>
        <v>0</v>
      </c>
      <c r="H204">
        <f t="shared" si="88"/>
        <v>0</v>
      </c>
      <c r="I204" s="339">
        <f t="shared" si="95"/>
        <v>0</v>
      </c>
      <c r="J204" s="339">
        <f t="shared" si="89"/>
        <v>0</v>
      </c>
      <c r="K204">
        <f>COUNTIFS('Quote Log'!$C:$C,"&gt;="&amp;DATE(2024,10,27),'Quote Log'!$C:$C,"&lt;="&amp;DATE(2024,11,2),'Quote Log'!$B:$B,"=LOST")</f>
        <v>0</v>
      </c>
      <c r="L204">
        <f>COUNTIFS('Quote Log'!$B:$B,"&lt;&gt;VOID",'Quote Log'!$B:$B,"&lt;&gt;Requoted",'Quote Log'!$C:$C,"&gt;="&amp;DATE(2024,10,27),'Quote Log'!$C:$C,"&lt;="&amp;DATE(2024,11,2),'Quote Log'!$V:$V,"=new")</f>
        <v>0</v>
      </c>
      <c r="M204" s="349">
        <f t="shared" si="96"/>
        <v>0</v>
      </c>
      <c r="N204" s="339">
        <f t="shared" si="90"/>
        <v>0</v>
      </c>
      <c r="O204" s="351">
        <f>SUMIFS('Quote Log'!$AB:$AB,'Quote Log'!$C:$C,"&gt;="&amp;DATE(2024,10,27),'Quote Log'!$C:$C,"&lt;="&amp;DATE(2024,11,2),'Quote Log'!$B:$B,"=Purchased",'Quote Log'!$AB:$AB,"&lt;&gt;#VALUE!")</f>
        <v>0</v>
      </c>
      <c r="P204" s="351">
        <f t="shared" si="91"/>
        <v>0</v>
      </c>
      <c r="Q204" s="349" t="e">
        <f t="shared" si="84"/>
        <v>#DIV/0!</v>
      </c>
      <c r="R204" s="349" t="e">
        <f t="shared" si="92"/>
        <v>#DIV/0!</v>
      </c>
      <c r="S204" s="351">
        <f t="shared" si="97"/>
        <v>0</v>
      </c>
      <c r="T204" s="351">
        <f t="shared" si="93"/>
        <v>0</v>
      </c>
      <c r="U204" s="349" t="e">
        <f t="shared" si="85"/>
        <v>#DIV/0!</v>
      </c>
      <c r="V204" s="349" t="e">
        <f t="shared" si="94"/>
        <v>#DIV/0!</v>
      </c>
    </row>
    <row r="205" spans="1:22" x14ac:dyDescent="0.25">
      <c r="A205">
        <v>2024</v>
      </c>
      <c r="B205" s="350">
        <v>45</v>
      </c>
      <c r="C205">
        <f>COUNTIFS('Quote Log'!$B:$B,"&lt;&gt;VOID",'Quote Log'!$B:$B,"&lt;&gt;Requoted",'Quote Log'!$C:$C,"&gt;="&amp;DATE(2024,11,3),'Quote Log'!$C:$C,"&lt;="&amp;DATE(2024,11,9))</f>
        <v>0</v>
      </c>
      <c r="D205">
        <f t="shared" si="86"/>
        <v>0</v>
      </c>
      <c r="E205">
        <f>COUNTIFS('Quote Log'!$B:$B,"&lt;&gt;VOID",'Quote Log'!$B:$B,"&lt;&gt;Requoted",'Quote Log'!$H:$H,"&gt;="&amp;DATE(2024,11,3),'Quote Log'!$H:$H,"&lt;="&amp;DATE(2024,11,9))</f>
        <v>0</v>
      </c>
      <c r="F205">
        <f t="shared" si="87"/>
        <v>0</v>
      </c>
      <c r="G205">
        <f>COUNTIFS('Quote Log'!$C:$C,"&gt;="&amp;DATE(2024,11,3),'Quote Log'!$C:$C,"&lt;="&amp;DATE(2024,11,9),'Quote Log'!$B:$B,"=Purchased")</f>
        <v>0</v>
      </c>
      <c r="H205">
        <f t="shared" si="88"/>
        <v>0</v>
      </c>
      <c r="I205" s="339">
        <f t="shared" si="95"/>
        <v>0</v>
      </c>
      <c r="J205" s="339">
        <f t="shared" si="89"/>
        <v>0</v>
      </c>
      <c r="K205">
        <f>COUNTIFS('Quote Log'!$C:$C,"&gt;="&amp;DATE(2024,11,3),'Quote Log'!$C:$C,"&lt;="&amp;DATE(2024,11,9),'Quote Log'!$B:$B,"=LOST")</f>
        <v>0</v>
      </c>
      <c r="L205">
        <f>COUNTIFS('Quote Log'!$B:$B,"&lt;&gt;VOID",'Quote Log'!$B:$B,"&lt;&gt;Requoted",'Quote Log'!$C:$C,"&gt;="&amp;DATE(2024,11,3),'Quote Log'!$C:$C,"&lt;="&amp;DATE(2024,11,9),'Quote Log'!$V:$V,"=new")</f>
        <v>0</v>
      </c>
      <c r="M205" s="349">
        <f t="shared" si="96"/>
        <v>0</v>
      </c>
      <c r="N205" s="339">
        <f t="shared" si="90"/>
        <v>0</v>
      </c>
      <c r="O205" s="351">
        <f>SUMIFS('Quote Log'!$AB:$AB,'Quote Log'!$C:$C,"&gt;="&amp;DATE(2024,11,3),'Quote Log'!$C:$C,"&lt;="&amp;DATE(2024,11,9),'Quote Log'!$B:$B,"=Purchased",'Quote Log'!$AB:$AB,"&lt;&gt;#VALUE!")</f>
        <v>0</v>
      </c>
      <c r="P205" s="351">
        <f t="shared" si="91"/>
        <v>0</v>
      </c>
      <c r="Q205" s="349" t="e">
        <f t="shared" si="84"/>
        <v>#DIV/0!</v>
      </c>
      <c r="R205" s="349" t="e">
        <f t="shared" si="92"/>
        <v>#DIV/0!</v>
      </c>
      <c r="S205" s="351">
        <f t="shared" si="97"/>
        <v>0</v>
      </c>
      <c r="T205" s="351">
        <f t="shared" si="93"/>
        <v>0</v>
      </c>
      <c r="U205" s="349" t="e">
        <f t="shared" si="85"/>
        <v>#DIV/0!</v>
      </c>
      <c r="V205" s="349" t="e">
        <f t="shared" si="94"/>
        <v>#DIV/0!</v>
      </c>
    </row>
    <row r="206" spans="1:22" x14ac:dyDescent="0.25">
      <c r="A206">
        <v>2024</v>
      </c>
      <c r="B206" s="350">
        <v>46</v>
      </c>
      <c r="C206">
        <f>COUNTIFS('Quote Log'!$B:$B,"&lt;&gt;VOID",'Quote Log'!$B:$B,"&lt;&gt;Requoted",'Quote Log'!$C:$C,"&gt;="&amp;DATE(2024,11,10),'Quote Log'!$C:$C,"&lt;="&amp;DATE(2024,11,16))</f>
        <v>0</v>
      </c>
      <c r="D206">
        <f t="shared" si="86"/>
        <v>0</v>
      </c>
      <c r="E206">
        <f>COUNTIFS('Quote Log'!$B:$B,"&lt;&gt;VOID",'Quote Log'!$B:$B,"&lt;&gt;Requoted",'Quote Log'!$H:$H,"&gt;="&amp;DATE(2024,11,10),'Quote Log'!$H:$H,"&lt;="&amp;DATE(2024,11,16))</f>
        <v>0</v>
      </c>
      <c r="F206">
        <f t="shared" si="87"/>
        <v>0</v>
      </c>
      <c r="G206">
        <f>COUNTIFS('Quote Log'!$C:$C,"&gt;="&amp;DATE(2024,11,10),'Quote Log'!$C:$C,"&lt;="&amp;DATE(2024,11,16),'Quote Log'!$B:$B,"=Purchased")</f>
        <v>0</v>
      </c>
      <c r="H206">
        <f t="shared" si="88"/>
        <v>0</v>
      </c>
      <c r="I206" s="339">
        <f t="shared" si="95"/>
        <v>0</v>
      </c>
      <c r="J206" s="339">
        <f t="shared" si="89"/>
        <v>0</v>
      </c>
      <c r="K206">
        <f>COUNTIFS('Quote Log'!$C:$C,"&gt;="&amp;DATE(2024,11,10),'Quote Log'!$C:$C,"&lt;="&amp;DATE(2024,11,16),'Quote Log'!$B:$B,"=LOST")</f>
        <v>0</v>
      </c>
      <c r="L206">
        <f>COUNTIFS('Quote Log'!$B:$B,"&lt;&gt;VOID",'Quote Log'!$B:$B,"&lt;&gt;Requoted",'Quote Log'!$C:$C,"&gt;="&amp;DATE(2024,11,10),'Quote Log'!$C:$C,"&lt;="&amp;DATE(2024,11,16),'Quote Log'!$V:$V,"=new")</f>
        <v>0</v>
      </c>
      <c r="M206" s="349">
        <f t="shared" si="96"/>
        <v>0</v>
      </c>
      <c r="N206" s="339">
        <f t="shared" si="90"/>
        <v>0</v>
      </c>
      <c r="O206" s="351">
        <f>SUMIFS('Quote Log'!$AB:$AB,'Quote Log'!$C:$C,"&gt;="&amp;DATE(2024,11,10),'Quote Log'!$C:$C,"&lt;="&amp;DATE(2024,11,16),'Quote Log'!$B:$B,"=Purchased",'Quote Log'!$AB:$AB,"&lt;&gt;#VALUE!")</f>
        <v>0</v>
      </c>
      <c r="P206" s="351">
        <f t="shared" si="91"/>
        <v>0</v>
      </c>
      <c r="Q206" s="349" t="e">
        <f t="shared" si="84"/>
        <v>#DIV/0!</v>
      </c>
      <c r="R206" s="349" t="e">
        <f t="shared" si="92"/>
        <v>#DIV/0!</v>
      </c>
      <c r="S206" s="351">
        <f t="shared" si="97"/>
        <v>0</v>
      </c>
      <c r="T206" s="351">
        <f t="shared" si="93"/>
        <v>0</v>
      </c>
      <c r="U206" s="349" t="e">
        <f t="shared" si="85"/>
        <v>#DIV/0!</v>
      </c>
      <c r="V206" s="349" t="e">
        <f t="shared" si="94"/>
        <v>#DIV/0!</v>
      </c>
    </row>
    <row r="207" spans="1:22" x14ac:dyDescent="0.25">
      <c r="A207">
        <v>2024</v>
      </c>
      <c r="B207" s="350">
        <v>47</v>
      </c>
      <c r="C207">
        <f>COUNTIFS('Quote Log'!$B:$B,"&lt;&gt;VOID",'Quote Log'!$B:$B,"&lt;&gt;Requoted",'Quote Log'!$C:$C,"&gt;="&amp;DATE(2024,11,17),'Quote Log'!$C:$C,"&lt;="&amp;DATE(2024,11,23))</f>
        <v>0</v>
      </c>
      <c r="D207">
        <f t="shared" si="86"/>
        <v>0</v>
      </c>
      <c r="E207">
        <f>COUNTIFS('Quote Log'!$B:$B,"&lt;&gt;VOID",'Quote Log'!$B:$B,"&lt;&gt;Requoted",'Quote Log'!$H:$H,"&gt;="&amp;DATE(2024,11,17),'Quote Log'!$H:$H,"&lt;="&amp;DATE(2024,11,23))</f>
        <v>0</v>
      </c>
      <c r="F207">
        <f t="shared" si="87"/>
        <v>0</v>
      </c>
      <c r="G207">
        <f>COUNTIFS('Quote Log'!$C:$C,"&gt;="&amp;DATE(2024,11,17),'Quote Log'!$C:$C,"&lt;="&amp;DATE(2024,11,23),'Quote Log'!$B:$B,"=Purchased")</f>
        <v>0</v>
      </c>
      <c r="H207">
        <f t="shared" si="88"/>
        <v>0</v>
      </c>
      <c r="I207" s="339">
        <f t="shared" si="95"/>
        <v>0</v>
      </c>
      <c r="J207" s="339">
        <f t="shared" si="89"/>
        <v>0</v>
      </c>
      <c r="K207">
        <f>COUNTIFS('Quote Log'!$C:$C,"&gt;="&amp;DATE(2024,11,17),'Quote Log'!$C:$C,"&lt;="&amp;DATE(2024,11,23),'Quote Log'!$B:$B,"=LOST")</f>
        <v>0</v>
      </c>
      <c r="L207">
        <f>COUNTIFS('Quote Log'!$B:$B,"&lt;&gt;VOID",'Quote Log'!$B:$B,"&lt;&gt;Requoted",'Quote Log'!$C:$C,"&gt;="&amp;DATE(2024,11,17),'Quote Log'!$C:$C,"&lt;="&amp;DATE(2024,11,23),'Quote Log'!$V:$V,"=new")</f>
        <v>0</v>
      </c>
      <c r="M207" s="349">
        <f t="shared" si="96"/>
        <v>0</v>
      </c>
      <c r="N207" s="339">
        <f t="shared" si="90"/>
        <v>0</v>
      </c>
      <c r="O207" s="351">
        <f>SUMIFS('Quote Log'!$AB:$AB,'Quote Log'!$C:$C,"&gt;="&amp;DATE(2024,11,17),'Quote Log'!$C:$C,"&lt;="&amp;DATE(2024,11,23),'Quote Log'!$B:$B,"=Purchased",'Quote Log'!$AB:$AB,"&lt;&gt;#VALUE!")</f>
        <v>0</v>
      </c>
      <c r="P207" s="351">
        <f t="shared" si="91"/>
        <v>0</v>
      </c>
      <c r="Q207" s="349" t="e">
        <f t="shared" si="84"/>
        <v>#DIV/0!</v>
      </c>
      <c r="R207" s="349" t="e">
        <f t="shared" si="92"/>
        <v>#DIV/0!</v>
      </c>
      <c r="S207" s="351">
        <f t="shared" si="97"/>
        <v>0</v>
      </c>
      <c r="T207" s="351">
        <f t="shared" si="93"/>
        <v>0</v>
      </c>
      <c r="U207" s="349" t="e">
        <f t="shared" si="85"/>
        <v>#DIV/0!</v>
      </c>
      <c r="V207" s="349" t="e">
        <f t="shared" si="94"/>
        <v>#DIV/0!</v>
      </c>
    </row>
    <row r="208" spans="1:22" x14ac:dyDescent="0.25">
      <c r="A208">
        <v>2024</v>
      </c>
      <c r="B208" s="350">
        <v>48</v>
      </c>
      <c r="C208">
        <f>COUNTIFS('Quote Log'!$B:$B,"&lt;&gt;VOID",'Quote Log'!$B:$B,"&lt;&gt;Requoted",'Quote Log'!$C:$C,"&gt;="&amp;DATE(2024,11,24),'Quote Log'!$C:$C,"&lt;="&amp;DATE(2024,11,30))</f>
        <v>0</v>
      </c>
      <c r="D208">
        <f t="shared" si="86"/>
        <v>0</v>
      </c>
      <c r="E208">
        <f>COUNTIFS('Quote Log'!$B:$B,"&lt;&gt;VOID",'Quote Log'!$B:$B,"&lt;&gt;Requoted",'Quote Log'!$H:$H,"&gt;="&amp;DATE(2024,11,24),'Quote Log'!$H:$H,"&lt;="&amp;DATE(2024,11,30))</f>
        <v>0</v>
      </c>
      <c r="F208">
        <f t="shared" si="87"/>
        <v>0</v>
      </c>
      <c r="G208">
        <f>COUNTIFS('Quote Log'!$C:$C,"&gt;="&amp;DATE(2024,11,24),'Quote Log'!$C:$C,"&lt;="&amp;DATE(2024,11,30),'Quote Log'!$B:$B,"=Purchased")</f>
        <v>0</v>
      </c>
      <c r="H208">
        <f t="shared" si="88"/>
        <v>0</v>
      </c>
      <c r="I208" s="339">
        <f t="shared" si="95"/>
        <v>0</v>
      </c>
      <c r="J208" s="339">
        <f t="shared" si="89"/>
        <v>0</v>
      </c>
      <c r="K208">
        <f>COUNTIFS('Quote Log'!$C:$C,"&gt;="&amp;DATE(2024,11,24),'Quote Log'!$C:$C,"&lt;="&amp;DATE(2024,11,30),'Quote Log'!$B:$B,"=LOST")</f>
        <v>0</v>
      </c>
      <c r="L208">
        <f>COUNTIFS('Quote Log'!$B:$B,"&lt;&gt;VOID",'Quote Log'!$B:$B,"&lt;&gt;Requoted",'Quote Log'!$C:$C,"&gt;="&amp;DATE(2024,11,24),'Quote Log'!$C:$C,"&lt;="&amp;DATE(2024,11,30),'Quote Log'!$V:$V,"=new")</f>
        <v>0</v>
      </c>
      <c r="M208" s="349">
        <f t="shared" si="96"/>
        <v>0</v>
      </c>
      <c r="N208" s="339">
        <f t="shared" si="90"/>
        <v>0</v>
      </c>
      <c r="O208" s="351">
        <f>SUMIFS('Quote Log'!$AB:$AB,'Quote Log'!$C:$C,"&gt;="&amp;DATE(2024,11,24),'Quote Log'!$C:$C,"&lt;="&amp;DATE(2024,11,30),'Quote Log'!$B:$B,"=Purchased",'Quote Log'!$AB:$AB,"&lt;&gt;#VALUE!")</f>
        <v>0</v>
      </c>
      <c r="P208" s="351">
        <f t="shared" si="91"/>
        <v>0</v>
      </c>
      <c r="Q208" s="349" t="e">
        <f t="shared" si="84"/>
        <v>#DIV/0!</v>
      </c>
      <c r="R208" s="349" t="e">
        <f t="shared" si="92"/>
        <v>#DIV/0!</v>
      </c>
      <c r="S208" s="351">
        <f t="shared" si="97"/>
        <v>0</v>
      </c>
      <c r="T208" s="351">
        <f t="shared" si="93"/>
        <v>0</v>
      </c>
      <c r="U208" s="349" t="e">
        <f t="shared" si="85"/>
        <v>#DIV/0!</v>
      </c>
      <c r="V208" s="349" t="e">
        <f t="shared" si="94"/>
        <v>#DIV/0!</v>
      </c>
    </row>
    <row r="209" spans="1:22" x14ac:dyDescent="0.25">
      <c r="A209">
        <v>2024</v>
      </c>
      <c r="B209" s="350">
        <v>49</v>
      </c>
      <c r="C209">
        <f>COUNTIFS('Quote Log'!$B:$B,"&lt;&gt;VOID",'Quote Log'!$B:$B,"&lt;&gt;Requoted",'Quote Log'!$C:$C,"&gt;="&amp;DATE(2024,12,1),'Quote Log'!$C:$C,"&lt;="&amp;DATE(2024,12,7))</f>
        <v>0</v>
      </c>
      <c r="D209">
        <f t="shared" si="86"/>
        <v>0</v>
      </c>
      <c r="E209">
        <f>COUNTIFS('Quote Log'!$B:$B,"&lt;&gt;VOID",'Quote Log'!$B:$B,"&lt;&gt;Requoted",'Quote Log'!$H:$H,"&gt;="&amp;DATE(2024,12,1),'Quote Log'!$H:$H,"&lt;="&amp;DATE(2024,12,7))</f>
        <v>0</v>
      </c>
      <c r="F209">
        <f t="shared" si="87"/>
        <v>0</v>
      </c>
      <c r="G209">
        <f>COUNTIFS('Quote Log'!$C:$C,"&gt;="&amp;DATE(2024,12,1),'Quote Log'!$C:$C,"&lt;="&amp;DATE(2024,12,7),'Quote Log'!$B:$B,"=Purchased")</f>
        <v>0</v>
      </c>
      <c r="H209">
        <f t="shared" si="88"/>
        <v>0</v>
      </c>
      <c r="I209" s="339">
        <f t="shared" si="95"/>
        <v>0</v>
      </c>
      <c r="J209" s="339">
        <f t="shared" si="89"/>
        <v>0</v>
      </c>
      <c r="K209">
        <f>COUNTIFS('Quote Log'!$C:$C,"&gt;="&amp;DATE(2024,12,1),'Quote Log'!$C:$C,"&lt;="&amp;DATE(2024,12,7),'Quote Log'!$B:$B,"=LOST")</f>
        <v>0</v>
      </c>
      <c r="L209">
        <f>COUNTIFS('Quote Log'!$B:$B,"&lt;&gt;VOID",'Quote Log'!$B:$B,"&lt;&gt;Requoted",'Quote Log'!$C:$C,"&gt;="&amp;DATE(2024,12,1),'Quote Log'!$C:$C,"&lt;="&amp;DATE(2024,12,7),'Quote Log'!$V:$V,"=new")</f>
        <v>0</v>
      </c>
      <c r="M209" s="349">
        <f t="shared" si="96"/>
        <v>0</v>
      </c>
      <c r="N209" s="339">
        <f t="shared" si="90"/>
        <v>0</v>
      </c>
      <c r="O209" s="351">
        <f>SUMIFS('Quote Log'!$AB:$AB,'Quote Log'!$C:$C,"&gt;="&amp;DATE(2024,12,1),'Quote Log'!$C:$C,"&lt;="&amp;DATE(2024,12,7),'Quote Log'!$B:$B,"=Purchased",'Quote Log'!$AB:$AB,"&lt;&gt;#VALUE!")</f>
        <v>0</v>
      </c>
      <c r="P209" s="351">
        <f t="shared" si="91"/>
        <v>0</v>
      </c>
      <c r="Q209" s="349" t="e">
        <f t="shared" si="84"/>
        <v>#DIV/0!</v>
      </c>
      <c r="R209" s="349" t="e">
        <f t="shared" si="92"/>
        <v>#DIV/0!</v>
      </c>
      <c r="S209" s="351">
        <f t="shared" si="97"/>
        <v>0</v>
      </c>
      <c r="T209" s="351">
        <f t="shared" si="93"/>
        <v>0</v>
      </c>
      <c r="U209" s="349" t="e">
        <f t="shared" si="85"/>
        <v>#DIV/0!</v>
      </c>
      <c r="V209" s="349" t="e">
        <f t="shared" si="94"/>
        <v>#DIV/0!</v>
      </c>
    </row>
    <row r="210" spans="1:22" x14ac:dyDescent="0.25">
      <c r="A210">
        <v>2024</v>
      </c>
      <c r="B210" s="350">
        <v>50</v>
      </c>
      <c r="C210">
        <f>COUNTIFS('Quote Log'!$B:$B,"&lt;&gt;VOID",'Quote Log'!$B:$B,"&lt;&gt;Requoted",'Quote Log'!$C:$C,"&gt;="&amp;DATE(2024,12,8),'Quote Log'!$C:$C,"&lt;="&amp;DATE(2024,12,14))</f>
        <v>0</v>
      </c>
      <c r="D210">
        <f t="shared" si="86"/>
        <v>0</v>
      </c>
      <c r="E210">
        <f>COUNTIFS('Quote Log'!$B:$B,"&lt;&gt;VOID",'Quote Log'!$B:$B,"&lt;&gt;Requoted",'Quote Log'!$H:$H,"&gt;="&amp;DATE(2024,12,8),'Quote Log'!$H:$H,"&lt;="&amp;DATE(2024,12,14))</f>
        <v>0</v>
      </c>
      <c r="F210">
        <f t="shared" si="87"/>
        <v>0</v>
      </c>
      <c r="G210">
        <f>COUNTIFS('Quote Log'!$C:$C,"&gt;="&amp;DATE(2024,12,8),'Quote Log'!$C:$C,"&lt;="&amp;DATE(2024,12,14),'Quote Log'!$B:$B,"=Purchased")</f>
        <v>0</v>
      </c>
      <c r="H210">
        <f t="shared" si="88"/>
        <v>0</v>
      </c>
      <c r="I210" s="339">
        <f t="shared" si="95"/>
        <v>0</v>
      </c>
      <c r="J210" s="339">
        <f t="shared" si="89"/>
        <v>0</v>
      </c>
      <c r="K210">
        <f>COUNTIFS('Quote Log'!$C:$C,"&gt;="&amp;DATE(2024,12,8),'Quote Log'!$C:$C,"&lt;="&amp;DATE(2024,12,14),'Quote Log'!$B:$B,"=LOST")</f>
        <v>0</v>
      </c>
      <c r="L210">
        <f>COUNTIFS('Quote Log'!$B:$B,"&lt;&gt;VOID",'Quote Log'!$B:$B,"&lt;&gt;Requoted",'Quote Log'!$C:$C,"&gt;="&amp;DATE(2024,12,8),'Quote Log'!$C:$C,"&lt;="&amp;DATE(2024,12,14),'Quote Log'!$V:$V,"=new")</f>
        <v>0</v>
      </c>
      <c r="M210" s="349">
        <f t="shared" si="96"/>
        <v>0</v>
      </c>
      <c r="N210" s="339">
        <f t="shared" si="90"/>
        <v>0</v>
      </c>
      <c r="O210" s="351">
        <f>SUMIFS('Quote Log'!$AB:$AB,'Quote Log'!$C:$C,"&gt;="&amp;DATE(2024,12,8),'Quote Log'!$C:$C,"&lt;="&amp;DATE(2024,12,14),'Quote Log'!$B:$B,"=Purchased",'Quote Log'!$AB:$AB,"&lt;&gt;#VALUE!")</f>
        <v>0</v>
      </c>
      <c r="P210" s="351">
        <f t="shared" si="91"/>
        <v>0</v>
      </c>
      <c r="Q210" s="349" t="e">
        <f t="shared" si="84"/>
        <v>#DIV/0!</v>
      </c>
      <c r="R210" s="349" t="e">
        <f t="shared" si="92"/>
        <v>#DIV/0!</v>
      </c>
      <c r="S210" s="351">
        <f t="shared" si="97"/>
        <v>0</v>
      </c>
      <c r="T210" s="351">
        <f t="shared" si="93"/>
        <v>0</v>
      </c>
      <c r="U210" s="349" t="e">
        <f t="shared" si="85"/>
        <v>#DIV/0!</v>
      </c>
      <c r="V210" s="349" t="e">
        <f t="shared" si="94"/>
        <v>#DIV/0!</v>
      </c>
    </row>
    <row r="211" spans="1:22" x14ac:dyDescent="0.25">
      <c r="A211">
        <v>2024</v>
      </c>
      <c r="B211" s="350">
        <v>51</v>
      </c>
      <c r="C211">
        <f>COUNTIFS('Quote Log'!$B:$B,"&lt;&gt;VOID",'Quote Log'!$B:$B,"&lt;&gt;Requoted",'Quote Log'!$C:$C,"&gt;="&amp;DATE(2024,12,15),'Quote Log'!$C:$C,"&lt;="&amp;DATE(2024,12,21))</f>
        <v>0</v>
      </c>
      <c r="D211">
        <f t="shared" si="86"/>
        <v>0</v>
      </c>
      <c r="E211">
        <f>COUNTIFS('Quote Log'!$B:$B,"&lt;&gt;VOID",'Quote Log'!$B:$B,"&lt;&gt;Requoted",'Quote Log'!$H:$H,"&gt;="&amp;DATE(2024,12,15),'Quote Log'!$H:$H,"&lt;="&amp;DATE(2024,12,21))</f>
        <v>0</v>
      </c>
      <c r="F211">
        <f t="shared" si="87"/>
        <v>0</v>
      </c>
      <c r="G211">
        <f>COUNTIFS('Quote Log'!$C:$C,"&gt;="&amp;DATE(2024,12,15),'Quote Log'!$C:$C,"&lt;="&amp;DATE(2024,12,21),'Quote Log'!$B:$B,"=Purchased")</f>
        <v>0</v>
      </c>
      <c r="H211">
        <f t="shared" si="88"/>
        <v>0</v>
      </c>
      <c r="I211" s="339">
        <f t="shared" si="95"/>
        <v>0</v>
      </c>
      <c r="J211" s="339">
        <f t="shared" si="89"/>
        <v>0</v>
      </c>
      <c r="K211">
        <f>COUNTIFS('Quote Log'!$C:$C,"&gt;="&amp;DATE(2024,12,15),'Quote Log'!$C:$C,"&lt;="&amp;DATE(2024,12,21),'Quote Log'!$B:$B,"=LOST")</f>
        <v>0</v>
      </c>
      <c r="L211">
        <f>COUNTIFS('Quote Log'!$B:$B,"&lt;&gt;VOID",'Quote Log'!$B:$B,"&lt;&gt;Requoted",'Quote Log'!$C:$C,"&gt;="&amp;DATE(2024,12,15),'Quote Log'!$C:$C,"&lt;="&amp;DATE(2024,12,21),'Quote Log'!$V:$V,"=new")</f>
        <v>0</v>
      </c>
      <c r="M211" s="349">
        <f t="shared" si="96"/>
        <v>0</v>
      </c>
      <c r="N211" s="339">
        <f t="shared" si="90"/>
        <v>0</v>
      </c>
      <c r="O211" s="351">
        <f>SUMIFS('Quote Log'!$AB:$AB,'Quote Log'!$C:$C,"&gt;="&amp;DATE(2024,12,15),'Quote Log'!$C:$C,"&lt;="&amp;DATE(2024,12,21),'Quote Log'!$B:$B,"=Purchased",'Quote Log'!$AB:$AB,"&lt;&gt;#VALUE!")</f>
        <v>0</v>
      </c>
      <c r="P211" s="351">
        <f t="shared" si="91"/>
        <v>0</v>
      </c>
      <c r="Q211" s="349" t="e">
        <f t="shared" si="84"/>
        <v>#DIV/0!</v>
      </c>
      <c r="R211" s="349" t="e">
        <f t="shared" si="92"/>
        <v>#DIV/0!</v>
      </c>
      <c r="S211" s="351">
        <f t="shared" si="97"/>
        <v>0</v>
      </c>
      <c r="T211" s="351">
        <f t="shared" si="93"/>
        <v>0</v>
      </c>
      <c r="U211" s="349" t="e">
        <f t="shared" si="85"/>
        <v>#DIV/0!</v>
      </c>
      <c r="V211" s="349" t="e">
        <f t="shared" si="94"/>
        <v>#DIV/0!</v>
      </c>
    </row>
    <row r="212" spans="1:22" x14ac:dyDescent="0.25">
      <c r="A212">
        <v>2024</v>
      </c>
      <c r="B212" s="350">
        <v>52</v>
      </c>
      <c r="C212">
        <f>COUNTIFS('Quote Log'!$B:$B,"&lt;&gt;VOID",'Quote Log'!$B:$B,"&lt;&gt;Requoted",'Quote Log'!$C:$C,"&gt;="&amp;DATE(2024,12,22),'Quote Log'!$C:$C,"&lt;="&amp;DATE(2024,12,28))</f>
        <v>0</v>
      </c>
      <c r="D212">
        <f t="shared" si="86"/>
        <v>0</v>
      </c>
      <c r="E212">
        <f>COUNTIFS('Quote Log'!$B:$B,"&lt;&gt;VOID",'Quote Log'!$B:$B,"&lt;&gt;Requoted",'Quote Log'!$H:$H,"&gt;="&amp;DATE(2024,12,22),'Quote Log'!$H:$H,"&lt;="&amp;DATE(2024,12,28))</f>
        <v>0</v>
      </c>
      <c r="F212">
        <f t="shared" si="87"/>
        <v>0</v>
      </c>
      <c r="G212">
        <f>COUNTIFS('Quote Log'!$C:$C,"&gt;="&amp;DATE(2024,12,22),'Quote Log'!$C:$C,"&lt;="&amp;DATE(2024,12,28),'Quote Log'!$B:$B,"=Purchased")</f>
        <v>0</v>
      </c>
      <c r="H212">
        <f t="shared" si="88"/>
        <v>0</v>
      </c>
      <c r="I212" s="339">
        <f t="shared" si="95"/>
        <v>0</v>
      </c>
      <c r="J212" s="339">
        <f t="shared" si="89"/>
        <v>0</v>
      </c>
      <c r="K212">
        <f>COUNTIFS('Quote Log'!$C:$C,"&gt;="&amp;DATE(2024,12,22),'Quote Log'!$C:$C,"&lt;="&amp;DATE(2024,12,28),'Quote Log'!$B:$B,"=LOST")</f>
        <v>0</v>
      </c>
      <c r="L212">
        <f>COUNTIFS('Quote Log'!$B:$B,"&lt;&gt;VOID",'Quote Log'!$B:$B,"&lt;&gt;Requoted",'Quote Log'!$C:$C,"&gt;="&amp;DATE(2024,12,22),'Quote Log'!$C:$C,"&lt;="&amp;DATE(2024,12,28),'Quote Log'!$V:$V,"=new")</f>
        <v>0</v>
      </c>
      <c r="M212" s="349">
        <f t="shared" si="96"/>
        <v>0</v>
      </c>
      <c r="N212" s="339">
        <f t="shared" si="90"/>
        <v>0</v>
      </c>
      <c r="O212" s="351">
        <f>SUMIFS('Quote Log'!$AB:$AB,'Quote Log'!$C:$C,"&gt;="&amp;DATE(2024,12,22),'Quote Log'!$C:$C,"&lt;="&amp;DATE(2024,12,28),'Quote Log'!$B:$B,"=Purchased",'Quote Log'!$AB:$AB,"&lt;&gt;#VALUE!")</f>
        <v>0</v>
      </c>
      <c r="P212" s="351">
        <f t="shared" si="91"/>
        <v>0</v>
      </c>
      <c r="Q212" s="349" t="e">
        <f t="shared" si="84"/>
        <v>#DIV/0!</v>
      </c>
      <c r="R212" s="349" t="e">
        <f t="shared" si="92"/>
        <v>#DIV/0!</v>
      </c>
      <c r="S212" s="351">
        <f t="shared" si="97"/>
        <v>0</v>
      </c>
      <c r="T212" s="351">
        <f t="shared" si="93"/>
        <v>0</v>
      </c>
      <c r="U212" s="349" t="e">
        <f t="shared" si="85"/>
        <v>#DIV/0!</v>
      </c>
      <c r="V212" s="349" t="e">
        <f t="shared" si="94"/>
        <v>#DIV/0!</v>
      </c>
    </row>
    <row r="213" spans="1:22" x14ac:dyDescent="0.25">
      <c r="A213">
        <v>2024</v>
      </c>
      <c r="B213" s="350">
        <v>53</v>
      </c>
      <c r="C213">
        <f>COUNTIFS('Quote Log'!$B:$B,"&lt;&gt;VOID",'Quote Log'!$B:$B,"&lt;&gt;Requoted",'Quote Log'!$C:$C,"&gt;="&amp;DATE(2024,12,29),'Quote Log'!$C:$C,"&lt;="&amp;DATE(2024,12,31))</f>
        <v>0</v>
      </c>
      <c r="D213">
        <f t="shared" si="86"/>
        <v>0</v>
      </c>
      <c r="E213">
        <f>COUNTIFS('Quote Log'!$B:$B,"&lt;&gt;VOID",'Quote Log'!$B:$B,"&lt;&gt;Requoted",'Quote Log'!$H:$H,"&gt;="&amp;DATE(2024,12,29),'Quote Log'!$H:$H,"&lt;="&amp;DATE(2024,12,31))</f>
        <v>0</v>
      </c>
      <c r="F213">
        <f t="shared" si="87"/>
        <v>0</v>
      </c>
      <c r="G213">
        <f>COUNTIFS('Quote Log'!$C:$C,"&gt;="&amp;DATE(2024,12,29),'Quote Log'!$C:$C,"&lt;="&amp;DATE(2024,12,31),'Quote Log'!$B:$B,"=Purchased")</f>
        <v>0</v>
      </c>
      <c r="H213">
        <f t="shared" si="88"/>
        <v>0</v>
      </c>
      <c r="I213" s="339">
        <f t="shared" si="95"/>
        <v>0</v>
      </c>
      <c r="J213" s="339">
        <f t="shared" si="89"/>
        <v>0</v>
      </c>
      <c r="K213">
        <f>COUNTIFS('Quote Log'!$C:$C,"&gt;="&amp;DATE(2024,12,29),'Quote Log'!$C:$C,"&lt;="&amp;DATE(2024,12,31),'Quote Log'!$B:$B,"=LOST")</f>
        <v>0</v>
      </c>
      <c r="L213">
        <f>COUNTIFS('Quote Log'!$B:$B,"&lt;&gt;VOID",'Quote Log'!$B:$B,"&lt;&gt;Requoted",'Quote Log'!$C:$C,"&gt;="&amp;DATE(2024,12,29),'Quote Log'!$C:$C,"&lt;="&amp;DATE(2024,12,31),'Quote Log'!$V:$V,"=new")</f>
        <v>0</v>
      </c>
      <c r="M213" s="349">
        <f t="shared" si="96"/>
        <v>0</v>
      </c>
      <c r="N213" s="339">
        <f t="shared" si="90"/>
        <v>0</v>
      </c>
      <c r="O213" s="351">
        <f>SUMIFS('Quote Log'!$AB:$AB,'Quote Log'!$C:$C,"&gt;="&amp;DATE(2024,12,29),'Quote Log'!$C:$C,"&lt;="&amp;DATE(2024,12,31),'Quote Log'!$B:$B,"=Purchased",'Quote Log'!$AB:$AB,"&lt;&gt;#VALUE!")</f>
        <v>0</v>
      </c>
      <c r="P213" s="351">
        <f t="shared" si="91"/>
        <v>0</v>
      </c>
      <c r="Q213" s="349" t="e">
        <f t="shared" si="84"/>
        <v>#DIV/0!</v>
      </c>
      <c r="R213" s="349" t="e">
        <f t="shared" si="92"/>
        <v>#DIV/0!</v>
      </c>
      <c r="S213" s="351">
        <f t="shared" si="97"/>
        <v>0</v>
      </c>
      <c r="T213" s="351">
        <f t="shared" si="93"/>
        <v>0</v>
      </c>
      <c r="U213" s="349" t="e">
        <f t="shared" si="85"/>
        <v>#DIV/0!</v>
      </c>
      <c r="V213" s="349" t="e">
        <f t="shared" si="94"/>
        <v>#DIV/0!</v>
      </c>
    </row>
    <row r="214" spans="1:22" x14ac:dyDescent="0.25">
      <c r="A214">
        <v>2025</v>
      </c>
      <c r="B214" s="350">
        <v>1</v>
      </c>
      <c r="C214">
        <f>COUNTIFS('Quote Log'!$B:$B,"&lt;&gt;VOID",'Quote Log'!$B:$B,"&lt;&gt;Requoted",'Quote Log'!$C:$C,"&gt;="&amp;DATE(2025,1,1),'Quote Log'!$C:$C,"&lt;="&amp;DATE(2025,1,4))</f>
        <v>0</v>
      </c>
      <c r="D214">
        <f t="shared" si="86"/>
        <v>0</v>
      </c>
      <c r="E214">
        <f>COUNTIFS('Quote Log'!$B:$B,"&lt;&gt;VOID",'Quote Log'!$B:$B,"&lt;&gt;Requoted",'Quote Log'!$H:$H,"&gt;="&amp;DATE(2025,1,1),'Quote Log'!$H:$H,"&lt;="&amp;DATE(2025,1,4))</f>
        <v>0</v>
      </c>
      <c r="F214">
        <f t="shared" si="87"/>
        <v>0</v>
      </c>
      <c r="G214">
        <f>COUNTIFS('Quote Log'!$C:$C,"&gt;="&amp;DATE(2025,1,1),'Quote Log'!$C:$C,"&lt;="&amp;DATE(2025,1,4),'Quote Log'!$B:$B,"=Purchased")</f>
        <v>0</v>
      </c>
      <c r="H214">
        <f t="shared" si="88"/>
        <v>0</v>
      </c>
      <c r="I214" s="339">
        <f t="shared" ref="I214:I222" si="98">IF(C214&lt;&gt;0,G214/C214,0)</f>
        <v>0</v>
      </c>
      <c r="J214" s="339">
        <f t="shared" ref="J214:J222" si="99">IF($Z$5,I214,NA())</f>
        <v>0</v>
      </c>
      <c r="K214">
        <f>COUNTIFS('Quote Log'!$C:$C,"&gt;="&amp;DATE(2025,1,1),'Quote Log'!$C:$C,"&lt;="&amp;DATE(2025,1,4),'Quote Log'!$B:$B,"=LOST")</f>
        <v>0</v>
      </c>
      <c r="L214">
        <f>COUNTIFS('Quote Log'!$B:$B,"&lt;&gt;VOID",'Quote Log'!$B:$B,"&lt;&gt;Requoted",'Quote Log'!$C:$C,"&gt;="&amp;DATE(2025,1,1),'Quote Log'!$C:$C,"&lt;="&amp;DATE(2025,1,4),'Quote Log'!$V:$V,"=new")</f>
        <v>0</v>
      </c>
      <c r="M214" s="349">
        <f t="shared" ref="M214:M222" si="100">IF(C214&lt;&gt;0,L214/C214,0)</f>
        <v>0</v>
      </c>
      <c r="N214" s="339">
        <f t="shared" ref="N214:N222" si="101">IF($Z$5,M214,NA())</f>
        <v>0</v>
      </c>
      <c r="O214" s="351">
        <f>SUMIFS('Quote Log'!$AB:$AB,'Quote Log'!$C:$C,"&gt;="&amp;DATE(2025,1,1),'Quote Log'!$C:$C,"&lt;="&amp;DATE(2025,1,4),'Quote Log'!$B:$B,"=Purchased",'Quote Log'!$AB:$AB,"&lt;&gt;#VALUE!")</f>
        <v>0</v>
      </c>
      <c r="P214" s="351">
        <f t="shared" ref="P214:P222" si="102">IF($Z$5,O214,NA())</f>
        <v>0</v>
      </c>
      <c r="Q214" s="349" t="e">
        <f t="shared" si="84"/>
        <v>#DIV/0!</v>
      </c>
      <c r="R214" s="349" t="e">
        <f t="shared" si="92"/>
        <v>#DIV/0!</v>
      </c>
      <c r="S214" s="351">
        <f>O214</f>
        <v>0</v>
      </c>
      <c r="T214" s="351">
        <f t="shared" si="93"/>
        <v>0</v>
      </c>
      <c r="U214" s="349" t="e">
        <f t="shared" si="85"/>
        <v>#DIV/0!</v>
      </c>
      <c r="V214" s="349" t="e">
        <f t="shared" si="94"/>
        <v>#DIV/0!</v>
      </c>
    </row>
    <row r="215" spans="1:22" x14ac:dyDescent="0.25">
      <c r="A215">
        <v>2025</v>
      </c>
      <c r="B215" s="350">
        <v>2</v>
      </c>
      <c r="C215">
        <f>COUNTIFS('Quote Log'!$B:$B,"&lt;&gt;VOID",'Quote Log'!$B:$B,"&lt;&gt;Requoted",'Quote Log'!$C:$C,"&gt;="&amp;DATE(2025,1,5),'Quote Log'!$C:$C,"&lt;="&amp;DATE(2025,1,11))</f>
        <v>0</v>
      </c>
      <c r="D215">
        <f t="shared" si="86"/>
        <v>0</v>
      </c>
      <c r="E215">
        <f>COUNTIFS('Quote Log'!$B:$B,"&lt;&gt;VOID",'Quote Log'!$B:$B,"&lt;&gt;Requoted",'Quote Log'!$H:$H,"&gt;="&amp;DATE(2025,1,5),'Quote Log'!$H:$H,"&lt;="&amp;DATE(2025,1,11))</f>
        <v>0</v>
      </c>
      <c r="F215">
        <f t="shared" si="87"/>
        <v>0</v>
      </c>
      <c r="G215">
        <f>COUNTIFS('Quote Log'!$C:$C,"&gt;="&amp;DATE(2025,1,5),'Quote Log'!$C:$C,"&lt;="&amp;DATE(2025,1,11),'Quote Log'!$B:$B,"=Purchased")</f>
        <v>0</v>
      </c>
      <c r="H215">
        <f t="shared" si="88"/>
        <v>0</v>
      </c>
      <c r="I215" s="339">
        <f t="shared" si="98"/>
        <v>0</v>
      </c>
      <c r="J215" s="339">
        <f t="shared" si="99"/>
        <v>0</v>
      </c>
      <c r="K215">
        <f>COUNTIFS('Quote Log'!$C:$C,"&gt;="&amp;DATE(2025,1,5),'Quote Log'!$C:$C,"&lt;="&amp;DATE(2025,1,11),'Quote Log'!$B:$B,"=LOST")</f>
        <v>0</v>
      </c>
      <c r="L215">
        <f>COUNTIFS('Quote Log'!$B:$B,"&lt;&gt;VOID",'Quote Log'!$B:$B,"&lt;&gt;Requoted",'Quote Log'!$C:$C,"&gt;="&amp;DATE(2025,1,5),'Quote Log'!$C:$C,"&lt;="&amp;DATE(2025,1,11),'Quote Log'!$V:$V,"=new")</f>
        <v>0</v>
      </c>
      <c r="M215" s="349">
        <f t="shared" si="100"/>
        <v>0</v>
      </c>
      <c r="N215" s="339">
        <f t="shared" si="101"/>
        <v>0</v>
      </c>
      <c r="O215" s="351">
        <f>SUMIFS('Quote Log'!$AB:$AB,'Quote Log'!$C:$C,"&gt;="&amp;DATE(2025,1,5),'Quote Log'!$C:$C,"&lt;="&amp;DATE(2025,1,11),'Quote Log'!$B:$B,"=Purchased",'Quote Log'!$AB:$AB,"&lt;&gt;#VALUE!")</f>
        <v>0</v>
      </c>
      <c r="P215" s="351">
        <f t="shared" si="102"/>
        <v>0</v>
      </c>
      <c r="Q215" s="349" t="e">
        <f t="shared" ref="Q215:Q218" si="103">(O215-O162)/O162</f>
        <v>#DIV/0!</v>
      </c>
      <c r="R215" s="349" t="e">
        <f t="shared" si="92"/>
        <v>#DIV/0!</v>
      </c>
      <c r="S215" s="351">
        <f t="shared" ref="S215:S222" si="104">O215+S214</f>
        <v>0</v>
      </c>
      <c r="T215" s="351">
        <f t="shared" si="93"/>
        <v>0</v>
      </c>
      <c r="U215" s="349" t="e">
        <f t="shared" ref="U215:U218" si="105">(S215-S162)/S162</f>
        <v>#DIV/0!</v>
      </c>
      <c r="V215" s="349" t="e">
        <f t="shared" si="94"/>
        <v>#DIV/0!</v>
      </c>
    </row>
    <row r="216" spans="1:22" x14ac:dyDescent="0.25">
      <c r="A216">
        <v>2025</v>
      </c>
      <c r="B216" s="350">
        <v>3</v>
      </c>
      <c r="C216">
        <f>COUNTIFS('Quote Log'!$B:$B,"&lt;&gt;VOID",'Quote Log'!$B:$B,"&lt;&gt;Requoted",'Quote Log'!$C:$C,"&gt;="&amp;DATE(2025,1,12),'Quote Log'!$C:$C,"&lt;="&amp;DATE(2025,1,18))</f>
        <v>0</v>
      </c>
      <c r="D216">
        <f t="shared" si="86"/>
        <v>0</v>
      </c>
      <c r="E216">
        <f>COUNTIFS('Quote Log'!$B:$B,"&lt;&gt;VOID",'Quote Log'!$B:$B,"&lt;&gt;Requoted",'Quote Log'!$H:$H,"&gt;="&amp;DATE(2025,1,12),'Quote Log'!$H:$H,"&lt;="&amp;DATE(2025,1,18))</f>
        <v>0</v>
      </c>
      <c r="F216">
        <f t="shared" si="87"/>
        <v>0</v>
      </c>
      <c r="G216">
        <f>COUNTIFS('Quote Log'!$C:$C,"&gt;="&amp;DATE(2025,1,12),'Quote Log'!$C:$C,"&lt;="&amp;DATE(2025,1,18),'Quote Log'!$B:$B,"=Purchased")</f>
        <v>0</v>
      </c>
      <c r="H216">
        <f t="shared" si="88"/>
        <v>0</v>
      </c>
      <c r="I216" s="339">
        <f t="shared" si="98"/>
        <v>0</v>
      </c>
      <c r="J216" s="339">
        <f t="shared" si="99"/>
        <v>0</v>
      </c>
      <c r="K216">
        <f>COUNTIFS('Quote Log'!$C:$C,"&gt;="&amp;DATE(2025,1,12),'Quote Log'!$C:$C,"&lt;="&amp;DATE(2025,1,18),'Quote Log'!$B:$B,"=LOST")</f>
        <v>0</v>
      </c>
      <c r="L216">
        <f>COUNTIFS('Quote Log'!$B:$B,"&lt;&gt;VOID",'Quote Log'!$B:$B,"&lt;&gt;Requoted",'Quote Log'!$C:$C,"&gt;="&amp;DATE(2025,1,12),'Quote Log'!$C:$C,"&lt;="&amp;DATE(2025,1,18),'Quote Log'!$V:$V,"=new")</f>
        <v>0</v>
      </c>
      <c r="M216" s="349">
        <f t="shared" si="100"/>
        <v>0</v>
      </c>
      <c r="N216" s="339">
        <f t="shared" si="101"/>
        <v>0</v>
      </c>
      <c r="O216" s="351">
        <f>SUMIFS('Quote Log'!$AB:$AB,'Quote Log'!$C:$C,"&gt;="&amp;DATE(2025,1,12),'Quote Log'!$C:$C,"&lt;="&amp;DATE(2025,1,18),'Quote Log'!$B:$B,"=Purchased",'Quote Log'!$AB:$AB,"&lt;&gt;#VALUE!")</f>
        <v>0</v>
      </c>
      <c r="P216" s="351">
        <f t="shared" si="102"/>
        <v>0</v>
      </c>
      <c r="Q216" s="349" t="e">
        <f t="shared" si="103"/>
        <v>#DIV/0!</v>
      </c>
      <c r="R216" s="349" t="e">
        <f t="shared" si="92"/>
        <v>#DIV/0!</v>
      </c>
      <c r="S216" s="351">
        <f t="shared" si="104"/>
        <v>0</v>
      </c>
      <c r="T216" s="351">
        <f t="shared" si="93"/>
        <v>0</v>
      </c>
      <c r="U216" s="349" t="e">
        <f t="shared" si="105"/>
        <v>#DIV/0!</v>
      </c>
      <c r="V216" s="349" t="e">
        <f t="shared" si="94"/>
        <v>#DIV/0!</v>
      </c>
    </row>
    <row r="217" spans="1:22" x14ac:dyDescent="0.25">
      <c r="A217">
        <v>2025</v>
      </c>
      <c r="B217" s="350">
        <v>4</v>
      </c>
      <c r="C217">
        <f>COUNTIFS('Quote Log'!$B:$B,"&lt;&gt;VOID",'Quote Log'!$B:$B,"&lt;&gt;Requoted",'Quote Log'!$C:$C,"&gt;="&amp;DATE(2025,1,19),'Quote Log'!$C:$C,"&lt;="&amp;DATE(2025,1,25))</f>
        <v>0</v>
      </c>
      <c r="D217">
        <f t="shared" si="86"/>
        <v>0</v>
      </c>
      <c r="E217">
        <f>COUNTIFS('Quote Log'!$B:$B,"&lt;&gt;VOID",'Quote Log'!$B:$B,"&lt;&gt;Requoted",'Quote Log'!$H:$H,"&gt;="&amp;DATE(2025,1,19),'Quote Log'!$H:$H,"&lt;="&amp;DATE(2025,1,25))</f>
        <v>0</v>
      </c>
      <c r="F217">
        <f t="shared" si="87"/>
        <v>0</v>
      </c>
      <c r="G217">
        <f>COUNTIFS('Quote Log'!$C:$C,"&gt;="&amp;DATE(2025,1,19),'Quote Log'!$C:$C,"&lt;="&amp;DATE(2025,1,25),'Quote Log'!$B:$B,"=Purchased")</f>
        <v>0</v>
      </c>
      <c r="H217">
        <f t="shared" si="88"/>
        <v>0</v>
      </c>
      <c r="I217" s="339">
        <f t="shared" si="98"/>
        <v>0</v>
      </c>
      <c r="J217" s="339">
        <f t="shared" si="99"/>
        <v>0</v>
      </c>
      <c r="K217">
        <f>COUNTIFS('Quote Log'!$C:$C,"&gt;="&amp;DATE(2025,1,19),'Quote Log'!$C:$C,"&lt;="&amp;DATE(2025,1,25),'Quote Log'!$B:$B,"=LOST")</f>
        <v>0</v>
      </c>
      <c r="L217">
        <f>COUNTIFS('Quote Log'!$B:$B,"&lt;&gt;VOID",'Quote Log'!$B:$B,"&lt;&gt;Requoted",'Quote Log'!$C:$C,"&gt;="&amp;DATE(2025,1,19),'Quote Log'!$C:$C,"&lt;="&amp;DATE(2025,1,25),'Quote Log'!$V:$V,"=new")</f>
        <v>0</v>
      </c>
      <c r="M217" s="349">
        <f t="shared" si="100"/>
        <v>0</v>
      </c>
      <c r="N217" s="339">
        <f t="shared" si="101"/>
        <v>0</v>
      </c>
      <c r="O217" s="351">
        <f>SUMIFS('Quote Log'!$AB:$AB,'Quote Log'!$C:$C,"&gt;="&amp;DATE(2025,1,19),'Quote Log'!$C:$C,"&lt;="&amp;DATE(2025,1,25),'Quote Log'!$B:$B,"=Purchased",'Quote Log'!$AB:$AB,"&lt;&gt;#VALUE!")</f>
        <v>0</v>
      </c>
      <c r="P217" s="351">
        <f t="shared" si="102"/>
        <v>0</v>
      </c>
      <c r="Q217" s="349" t="e">
        <f t="shared" si="103"/>
        <v>#DIV/0!</v>
      </c>
      <c r="R217" s="349" t="e">
        <f t="shared" si="92"/>
        <v>#DIV/0!</v>
      </c>
      <c r="S217" s="351">
        <f t="shared" si="104"/>
        <v>0</v>
      </c>
      <c r="T217" s="351">
        <f t="shared" si="93"/>
        <v>0</v>
      </c>
      <c r="U217" s="349" t="e">
        <f t="shared" si="105"/>
        <v>#DIV/0!</v>
      </c>
      <c r="V217" s="349" t="e">
        <f t="shared" si="94"/>
        <v>#DIV/0!</v>
      </c>
    </row>
    <row r="218" spans="1:22" x14ac:dyDescent="0.25">
      <c r="A218">
        <v>2025</v>
      </c>
      <c r="B218" s="350">
        <v>5</v>
      </c>
      <c r="C218">
        <f>COUNTIFS('Quote Log'!$B:$B,"&lt;&gt;VOID",'Quote Log'!$B:$B,"&lt;&gt;Requoted",'Quote Log'!$C:$C,"&gt;="&amp;DATE(2025,1,26),'Quote Log'!$C:$C,"&lt;="&amp;DATE(2025,2,1))</f>
        <v>0</v>
      </c>
      <c r="D218">
        <f t="shared" si="86"/>
        <v>0</v>
      </c>
      <c r="E218">
        <f>COUNTIFS('Quote Log'!$B:$B,"&lt;&gt;VOID",'Quote Log'!$B:$B,"&lt;&gt;Requoted",'Quote Log'!$H:$H,"&gt;="&amp;DATE(2025,1,26),'Quote Log'!$H:$H,"&lt;="&amp;DATE(2025,2,1))</f>
        <v>0</v>
      </c>
      <c r="F218">
        <f t="shared" si="87"/>
        <v>0</v>
      </c>
      <c r="G218">
        <f>COUNTIFS('Quote Log'!$C:$C,"&gt;="&amp;DATE(2025,1,26),'Quote Log'!$C:$C,"&lt;="&amp;DATE(2025,2,1),'Quote Log'!$B:$B,"=Purchased")</f>
        <v>0</v>
      </c>
      <c r="H218">
        <f t="shared" si="88"/>
        <v>0</v>
      </c>
      <c r="I218" s="339">
        <f t="shared" si="98"/>
        <v>0</v>
      </c>
      <c r="J218" s="339">
        <f t="shared" si="99"/>
        <v>0</v>
      </c>
      <c r="K218">
        <f>COUNTIFS('Quote Log'!$C:$C,"&gt;="&amp;DATE(2025,1,26),'Quote Log'!$C:$C,"&lt;="&amp;DATE(2025,2,1),'Quote Log'!$B:$B,"=LOST")</f>
        <v>0</v>
      </c>
      <c r="L218">
        <f>COUNTIFS('Quote Log'!$B:$B,"&lt;&gt;VOID",'Quote Log'!$B:$B,"&lt;&gt;Requoted",'Quote Log'!$C:$C,"&gt;="&amp;DATE(2025,1,26),'Quote Log'!$C:$C,"&lt;="&amp;DATE(2025,2,1),'Quote Log'!$V:$V,"=new")</f>
        <v>0</v>
      </c>
      <c r="M218" s="349">
        <f t="shared" si="100"/>
        <v>0</v>
      </c>
      <c r="N218" s="339">
        <f t="shared" si="101"/>
        <v>0</v>
      </c>
      <c r="O218" s="351">
        <f>SUMIFS('Quote Log'!$AB:$AB,'Quote Log'!$C:$C,"&gt;="&amp;DATE(2025,1,26),'Quote Log'!$C:$C,"&lt;="&amp;DATE(2025,2,1),'Quote Log'!$B:$B,"=Purchased",'Quote Log'!$AB:$AB,"&lt;&gt;#VALUE!")</f>
        <v>0</v>
      </c>
      <c r="P218" s="351">
        <f t="shared" si="102"/>
        <v>0</v>
      </c>
      <c r="Q218" s="349" t="e">
        <f t="shared" si="103"/>
        <v>#DIV/0!</v>
      </c>
      <c r="R218" s="349" t="e">
        <f t="shared" si="92"/>
        <v>#DIV/0!</v>
      </c>
      <c r="S218" s="351">
        <f t="shared" si="104"/>
        <v>0</v>
      </c>
      <c r="T218" s="351">
        <f t="shared" si="93"/>
        <v>0</v>
      </c>
      <c r="U218" s="349" t="e">
        <f t="shared" si="105"/>
        <v>#DIV/0!</v>
      </c>
      <c r="V218" s="349" t="e">
        <f t="shared" si="94"/>
        <v>#DIV/0!</v>
      </c>
    </row>
    <row r="219" spans="1:22" x14ac:dyDescent="0.25">
      <c r="A219">
        <v>2025</v>
      </c>
      <c r="B219" s="350">
        <v>6</v>
      </c>
      <c r="C219">
        <f>COUNTIFS('Quote Log'!$B:$B,"&lt;&gt;VOID",'Quote Log'!$B:$B,"&lt;&gt;Requoted",'Quote Log'!$C:$C,"&gt;="&amp;DATE(2025,2,2),'Quote Log'!$C:$C,"&lt;="&amp;DATE(2025,2,8))</f>
        <v>0</v>
      </c>
      <c r="D219">
        <f t="shared" ref="D219:D227" si="106">IF($Z$5,C219,NA())</f>
        <v>0</v>
      </c>
      <c r="E219">
        <f>COUNTIFS('Quote Log'!$B:$B,"&lt;&gt;VOID",'Quote Log'!$B:$B,"&lt;&gt;Requoted",'Quote Log'!$H:$H,"&gt;="&amp;DATE(2025,2,2),'Quote Log'!$H:$H,"&lt;="&amp;DATE(2025,2,8))</f>
        <v>0</v>
      </c>
      <c r="F219">
        <f t="shared" ref="F219:F227" si="107">IF($Z$5,E219,NA())</f>
        <v>0</v>
      </c>
      <c r="G219">
        <f>COUNTIFS('Quote Log'!$C:$C,"&gt;="&amp;DATE(2025,2,2),'Quote Log'!$C:$C,"&lt;="&amp;DATE(2025,2,8),'Quote Log'!$B:$B,"=Purchased")</f>
        <v>0</v>
      </c>
      <c r="H219">
        <f t="shared" ref="H219:H227" si="108">IF(Z$5,G219,NA())</f>
        <v>0</v>
      </c>
      <c r="I219" s="339">
        <f t="shared" si="98"/>
        <v>0</v>
      </c>
      <c r="J219" s="339">
        <f t="shared" si="99"/>
        <v>0</v>
      </c>
      <c r="K219">
        <f>COUNTIFS('Quote Log'!$C:$C,"&gt;="&amp;DATE(2025,2,2),'Quote Log'!$C:$C,"&lt;="&amp;DATE(2025,2,8),'Quote Log'!$B:$B,"=LOST")</f>
        <v>0</v>
      </c>
      <c r="L219">
        <f>COUNTIFS('Quote Log'!$B:$B,"&lt;&gt;VOID",'Quote Log'!$B:$B,"&lt;&gt;Requoted",'Quote Log'!$C:$C,"&gt;="&amp;DATE(2025,2,2),'Quote Log'!$C:$C,"&lt;="&amp;DATE(2025,2,8),'Quote Log'!$V:$V,"=new")</f>
        <v>0</v>
      </c>
      <c r="M219" s="349">
        <f t="shared" si="100"/>
        <v>0</v>
      </c>
      <c r="N219" s="339">
        <f t="shared" si="101"/>
        <v>0</v>
      </c>
      <c r="O219" s="351">
        <f>SUMIFS('Quote Log'!$AB:$AB,'Quote Log'!$C:$C,"&gt;="&amp;DATE(2025,2,2),'Quote Log'!$C:$C,"&lt;="&amp;DATE(2025,2,8),'Quote Log'!$B:$B,"=Purchased",'Quote Log'!$AB:$AB,"&lt;&gt;#VALUE!")</f>
        <v>0</v>
      </c>
      <c r="P219" s="351">
        <f t="shared" si="102"/>
        <v>0</v>
      </c>
      <c r="Q219" s="349" t="e">
        <f t="shared" ref="Q219:Q227" si="109">(O219-O166)/O166</f>
        <v>#DIV/0!</v>
      </c>
      <c r="R219" s="349" t="e">
        <f t="shared" ref="R219:R227" si="110">IF($Z$5,Q219,NA())</f>
        <v>#DIV/0!</v>
      </c>
      <c r="S219" s="351">
        <f t="shared" si="104"/>
        <v>0</v>
      </c>
      <c r="T219" s="351">
        <f t="shared" ref="T219:T227" si="111">IF($Z$5,S219,NA())</f>
        <v>0</v>
      </c>
      <c r="U219" s="349" t="e">
        <f t="shared" ref="U219:U227" si="112">(S219-S166)/S166</f>
        <v>#DIV/0!</v>
      </c>
      <c r="V219" s="349" t="e">
        <f t="shared" ref="V219:V235" si="113">IF($Z$5,U219,NA())</f>
        <v>#DIV/0!</v>
      </c>
    </row>
    <row r="220" spans="1:22" x14ac:dyDescent="0.25">
      <c r="A220">
        <v>2025</v>
      </c>
      <c r="B220" s="350">
        <v>7</v>
      </c>
      <c r="C220">
        <f>COUNTIFS('Quote Log'!$B:$B,"&lt;&gt;VOID",'Quote Log'!$B:$B,"&lt;&gt;Requoted",'Quote Log'!$C:$C,"&gt;="&amp;DATE(2025,2,9),'Quote Log'!$C:$C,"&lt;="&amp;DATE(2025,2,15))</f>
        <v>0</v>
      </c>
      <c r="D220">
        <f t="shared" si="106"/>
        <v>0</v>
      </c>
      <c r="E220">
        <f>COUNTIFS('Quote Log'!$B:$B,"&lt;&gt;VOID",'Quote Log'!$B:$B,"&lt;&gt;Requoted",'Quote Log'!$H:$H,"&gt;="&amp;DATE(2025,2,9),'Quote Log'!$H:$H,"&lt;="&amp;DATE(2025,2,15))</f>
        <v>0</v>
      </c>
      <c r="F220">
        <f t="shared" si="107"/>
        <v>0</v>
      </c>
      <c r="G220">
        <f>COUNTIFS('Quote Log'!$C:$C,"&gt;="&amp;DATE(2025,2,9),'Quote Log'!$C:$C,"&lt;="&amp;DATE(2025,2,15),'Quote Log'!$B:$B,"=Purchased")</f>
        <v>0</v>
      </c>
      <c r="H220">
        <f t="shared" si="108"/>
        <v>0</v>
      </c>
      <c r="I220" s="339">
        <f t="shared" si="98"/>
        <v>0</v>
      </c>
      <c r="J220" s="339">
        <f t="shared" si="99"/>
        <v>0</v>
      </c>
      <c r="K220">
        <f>COUNTIFS('Quote Log'!$C:$C,"&gt;="&amp;DATE(2025,2,9),'Quote Log'!$C:$C,"&lt;="&amp;DATE(2025,2,15),'Quote Log'!$B:$B,"=LOST")</f>
        <v>0</v>
      </c>
      <c r="L220">
        <f>COUNTIFS('Quote Log'!$B:$B,"&lt;&gt;VOID",'Quote Log'!$B:$B,"&lt;&gt;Requoted",'Quote Log'!$C:$C,"&gt;="&amp;DATE(2025,2,9),'Quote Log'!$C:$C,"&lt;="&amp;DATE(2025,2,15),'Quote Log'!$V:$V,"=new")</f>
        <v>0</v>
      </c>
      <c r="M220" s="349">
        <f t="shared" si="100"/>
        <v>0</v>
      </c>
      <c r="N220" s="339">
        <f t="shared" si="101"/>
        <v>0</v>
      </c>
      <c r="O220" s="351">
        <f>SUMIFS('Quote Log'!$AB:$AB,'Quote Log'!$C:$C,"&gt;="&amp;DATE(2025,2,9),'Quote Log'!$C:$C,"&lt;="&amp;DATE(2025,2,15),'Quote Log'!$B:$B,"=Purchased",'Quote Log'!$AB:$AB,"&lt;&gt;#VALUE!")</f>
        <v>0</v>
      </c>
      <c r="P220" s="351">
        <f t="shared" si="102"/>
        <v>0</v>
      </c>
      <c r="Q220" s="349" t="e">
        <f t="shared" si="109"/>
        <v>#DIV/0!</v>
      </c>
      <c r="R220" s="349" t="e">
        <f t="shared" si="110"/>
        <v>#DIV/0!</v>
      </c>
      <c r="S220" s="351">
        <f t="shared" si="104"/>
        <v>0</v>
      </c>
      <c r="T220" s="351">
        <f t="shared" si="111"/>
        <v>0</v>
      </c>
      <c r="U220" s="349" t="e">
        <f t="shared" si="112"/>
        <v>#DIV/0!</v>
      </c>
      <c r="V220" s="349" t="e">
        <f t="shared" si="113"/>
        <v>#DIV/0!</v>
      </c>
    </row>
    <row r="221" spans="1:22" x14ac:dyDescent="0.25">
      <c r="A221">
        <v>2025</v>
      </c>
      <c r="B221" s="350">
        <v>8</v>
      </c>
      <c r="C221">
        <f>COUNTIFS('Quote Log'!$B:$B,"&lt;&gt;VOID",'Quote Log'!$B:$B,"&lt;&gt;Requoted",'Quote Log'!$C:$C,"&gt;="&amp;DATE(2025,2,16),'Quote Log'!$C:$C,"&lt;="&amp;DATE(2025,2,22))</f>
        <v>0</v>
      </c>
      <c r="D221">
        <f t="shared" si="106"/>
        <v>0</v>
      </c>
      <c r="E221">
        <f>COUNTIFS('Quote Log'!$B:$B,"&lt;&gt;VOID",'Quote Log'!$B:$B,"&lt;&gt;Requoted",'Quote Log'!$H:$H,"&gt;="&amp;DATE(2025,2,16),'Quote Log'!$H:$H,"&lt;="&amp;DATE(2025,2,22))</f>
        <v>0</v>
      </c>
      <c r="F221">
        <f t="shared" si="107"/>
        <v>0</v>
      </c>
      <c r="G221">
        <f>COUNTIFS('Quote Log'!$C:$C,"&gt;="&amp;DATE(2025,2,16),'Quote Log'!$C:$C,"&lt;="&amp;DATE(2025,2,22),'Quote Log'!$B:$B,"=Purchased")</f>
        <v>0</v>
      </c>
      <c r="H221">
        <f t="shared" si="108"/>
        <v>0</v>
      </c>
      <c r="I221" s="339">
        <f t="shared" si="98"/>
        <v>0</v>
      </c>
      <c r="J221" s="339">
        <f t="shared" si="99"/>
        <v>0</v>
      </c>
      <c r="K221">
        <f>COUNTIFS('Quote Log'!$C:$C,"&gt;="&amp;DATE(2025,2,16),'Quote Log'!$C:$C,"&lt;="&amp;DATE(2025,2,22),'Quote Log'!$B:$B,"=LOST")</f>
        <v>0</v>
      </c>
      <c r="L221">
        <f>COUNTIFS('Quote Log'!$B:$B,"&lt;&gt;VOID",'Quote Log'!$B:$B,"&lt;&gt;Requoted",'Quote Log'!$C:$C,"&gt;="&amp;DATE(2025,2,16),'Quote Log'!$C:$C,"&lt;="&amp;DATE(2025,2,22),'Quote Log'!$V:$V,"=new")</f>
        <v>0</v>
      </c>
      <c r="M221" s="349">
        <f t="shared" si="100"/>
        <v>0</v>
      </c>
      <c r="N221" s="339">
        <f t="shared" si="101"/>
        <v>0</v>
      </c>
      <c r="O221" s="351">
        <f>SUMIFS('Quote Log'!$AB:$AB,'Quote Log'!$C:$C,"&gt;="&amp;DATE(2025,2,16),'Quote Log'!$C:$C,"&lt;="&amp;DATE(2025,2,22),'Quote Log'!$B:$B,"=Purchased",'Quote Log'!$AB:$AB,"&lt;&gt;#VALUE!")</f>
        <v>0</v>
      </c>
      <c r="P221" s="351">
        <f t="shared" si="102"/>
        <v>0</v>
      </c>
      <c r="Q221" s="349" t="e">
        <f t="shared" si="109"/>
        <v>#DIV/0!</v>
      </c>
      <c r="R221" s="349" t="e">
        <f t="shared" si="110"/>
        <v>#DIV/0!</v>
      </c>
      <c r="S221" s="351">
        <f t="shared" si="104"/>
        <v>0</v>
      </c>
      <c r="T221" s="351">
        <f t="shared" si="111"/>
        <v>0</v>
      </c>
      <c r="U221" s="349" t="e">
        <f t="shared" si="112"/>
        <v>#DIV/0!</v>
      </c>
      <c r="V221" s="349" t="e">
        <f t="shared" si="113"/>
        <v>#DIV/0!</v>
      </c>
    </row>
    <row r="222" spans="1:22" x14ac:dyDescent="0.25">
      <c r="A222">
        <v>2025</v>
      </c>
      <c r="B222" s="350">
        <v>9</v>
      </c>
      <c r="C222">
        <f>COUNTIFS('Quote Log'!$B:$B,"&lt;&gt;VOID",'Quote Log'!$B:$B,"&lt;&gt;Requoted",'Quote Log'!$C:$C,"&gt;="&amp;DATE(2025,2,23),'Quote Log'!$C:$C,"&lt;="&amp;DATE(2025,3,1))</f>
        <v>0</v>
      </c>
      <c r="D222">
        <f t="shared" si="106"/>
        <v>0</v>
      </c>
      <c r="E222">
        <f>COUNTIFS('Quote Log'!$B:$B,"&lt;&gt;VOID",'Quote Log'!$B:$B,"&lt;&gt;Requoted",'Quote Log'!$H:$H,"&gt;="&amp;DATE(2025,2,23),'Quote Log'!$H:$H,"&lt;="&amp;DATE(2025,3,1))</f>
        <v>0</v>
      </c>
      <c r="F222">
        <f t="shared" si="107"/>
        <v>0</v>
      </c>
      <c r="G222">
        <f>COUNTIFS('Quote Log'!$C:$C,"&gt;="&amp;DATE(2025,2,23),'Quote Log'!$C:$C,"&lt;="&amp;DATE(2025,3,1),'Quote Log'!$B:$B,"=Purchased")</f>
        <v>0</v>
      </c>
      <c r="H222">
        <f t="shared" si="108"/>
        <v>0</v>
      </c>
      <c r="I222" s="339">
        <f t="shared" si="98"/>
        <v>0</v>
      </c>
      <c r="J222" s="339">
        <f t="shared" si="99"/>
        <v>0</v>
      </c>
      <c r="K222">
        <f>COUNTIFS('Quote Log'!$C:$C,"&gt;="&amp;DATE(2025,2,23),'Quote Log'!$C:$C,"&lt;="&amp;DATE(2025,3,1),'Quote Log'!$B:$B,"=LOST")</f>
        <v>0</v>
      </c>
      <c r="L222">
        <f>COUNTIFS('Quote Log'!$B:$B,"&lt;&gt;VOID",'Quote Log'!$B:$B,"&lt;&gt;Requoted",'Quote Log'!$C:$C,"&gt;="&amp;DATE(2025,2,23),'Quote Log'!$C:$C,"&lt;="&amp;DATE(2025,3,1),'Quote Log'!$V:$V,"=new")</f>
        <v>0</v>
      </c>
      <c r="M222" s="349">
        <f t="shared" si="100"/>
        <v>0</v>
      </c>
      <c r="N222" s="339">
        <f t="shared" si="101"/>
        <v>0</v>
      </c>
      <c r="O222" s="351">
        <f>SUMIFS('Quote Log'!$AB:$AB,'Quote Log'!$C:$C,"&gt;="&amp;DATE(2025,2,23),'Quote Log'!$C:$C,"&lt;="&amp;DATE(2025,3,1),'Quote Log'!$B:$B,"=Purchased",'Quote Log'!$AB:$AB,"&lt;&gt;#VALUE!")</f>
        <v>0</v>
      </c>
      <c r="P222" s="351">
        <f t="shared" si="102"/>
        <v>0</v>
      </c>
      <c r="Q222" s="349" t="e">
        <f t="shared" si="109"/>
        <v>#DIV/0!</v>
      </c>
      <c r="R222" s="349" t="e">
        <f t="shared" si="110"/>
        <v>#DIV/0!</v>
      </c>
      <c r="S222" s="351">
        <f t="shared" si="104"/>
        <v>0</v>
      </c>
      <c r="T222" s="351">
        <f t="shared" si="111"/>
        <v>0</v>
      </c>
      <c r="U222" s="349" t="e">
        <f t="shared" si="112"/>
        <v>#DIV/0!</v>
      </c>
      <c r="V222" s="349" t="e">
        <f t="shared" si="113"/>
        <v>#DIV/0!</v>
      </c>
    </row>
    <row r="223" spans="1:22" x14ac:dyDescent="0.25">
      <c r="A223">
        <v>2025</v>
      </c>
      <c r="B223" s="350">
        <v>10</v>
      </c>
      <c r="C223">
        <f>COUNTIFS('Quote Log'!$B:$B,"&lt;&gt;VOID",'Quote Log'!$B:$B,"&lt;&gt;Requoted",'Quote Log'!$C:$C,"&gt;="&amp;DATE(2025,3,2),'Quote Log'!$C:$C,"&lt;="&amp;DATE(2025,3,8))</f>
        <v>0</v>
      </c>
      <c r="D223">
        <f t="shared" si="106"/>
        <v>0</v>
      </c>
      <c r="E223">
        <f>COUNTIFS('Quote Log'!$B:$B,"&lt;&gt;VOID",'Quote Log'!$B:$B,"&lt;&gt;Requoted",'Quote Log'!$H:$H,"&gt;="&amp;DATE(2025,3,2),'Quote Log'!$H:$H,"&lt;="&amp;DATE(2025,3,8))</f>
        <v>0</v>
      </c>
      <c r="F223">
        <f t="shared" si="107"/>
        <v>0</v>
      </c>
      <c r="G223">
        <f>COUNTIFS('Quote Log'!$C:$C,"&gt;="&amp;DATE(2025,3,2),'Quote Log'!$C:$C,"&lt;="&amp;DATE(2025,3,8),'Quote Log'!$B:$B,"=Purchased")</f>
        <v>0</v>
      </c>
      <c r="H223">
        <f t="shared" si="108"/>
        <v>0</v>
      </c>
      <c r="I223" s="339">
        <f t="shared" ref="I223:I231" si="114">IF(C223&lt;&gt;0,G223/C223,0)</f>
        <v>0</v>
      </c>
      <c r="J223" s="339">
        <f t="shared" ref="J223:J231" si="115">IF($Z$5,I223,NA())</f>
        <v>0</v>
      </c>
      <c r="K223">
        <f>COUNTIFS('Quote Log'!$C:$C,"&gt;="&amp;DATE(2025,3,2),'Quote Log'!$C:$C,"&lt;="&amp;DATE(2025,3,8),'Quote Log'!$B:$B,"=LOST")</f>
        <v>0</v>
      </c>
      <c r="L223">
        <f>COUNTIFS('Quote Log'!$B:$B,"&lt;&gt;VOID",'Quote Log'!$B:$B,"&lt;&gt;Requoted",'Quote Log'!$C:$C,"&gt;="&amp;DATE(2025,3,2),'Quote Log'!$C:$C,"&lt;="&amp;DATE(2025,3,8),'Quote Log'!$V:$V,"=new")</f>
        <v>0</v>
      </c>
      <c r="M223" s="349">
        <f t="shared" ref="M223:M231" si="116">IF(C223&lt;&gt;0,L223/C223,0)</f>
        <v>0</v>
      </c>
      <c r="N223" s="339">
        <f t="shared" ref="N223:N231" si="117">IF($Z$5,M223,NA())</f>
        <v>0</v>
      </c>
      <c r="O223" s="351">
        <f>SUMIFS('Quote Log'!$AB:$AB,'Quote Log'!$C:$C,"&gt;="&amp;DATE(2025,3,2),'Quote Log'!$C:$C,"&lt;="&amp;DATE(2025,3,8),'Quote Log'!$B:$B,"=Purchased",'Quote Log'!$AB:$AB,"&lt;&gt;#VALUE!")</f>
        <v>0</v>
      </c>
      <c r="P223" s="351">
        <f t="shared" ref="P223:P231" si="118">IF($Z$5,O223,NA())</f>
        <v>0</v>
      </c>
      <c r="Q223" s="349" t="e">
        <f t="shared" si="109"/>
        <v>#DIV/0!</v>
      </c>
      <c r="R223" s="349" t="e">
        <f t="shared" si="110"/>
        <v>#DIV/0!</v>
      </c>
      <c r="S223" s="351">
        <f t="shared" ref="S223:S231" si="119">O223+S222</f>
        <v>0</v>
      </c>
      <c r="T223" s="351">
        <f t="shared" si="111"/>
        <v>0</v>
      </c>
      <c r="U223" s="349" t="e">
        <f t="shared" si="112"/>
        <v>#DIV/0!</v>
      </c>
      <c r="V223" s="349" t="e">
        <f t="shared" si="113"/>
        <v>#DIV/0!</v>
      </c>
    </row>
    <row r="224" spans="1:22" x14ac:dyDescent="0.25">
      <c r="A224">
        <v>2025</v>
      </c>
      <c r="B224" s="350">
        <v>11</v>
      </c>
      <c r="C224">
        <f>COUNTIFS('Quote Log'!$B:$B,"&lt;&gt;VOID",'Quote Log'!$B:$B,"&lt;&gt;Requoted",'Quote Log'!$C:$C,"&gt;="&amp;DATE(2025,3,9),'Quote Log'!$C:$C,"&lt;="&amp;DATE(2025,3,15))</f>
        <v>0</v>
      </c>
      <c r="D224">
        <f t="shared" si="106"/>
        <v>0</v>
      </c>
      <c r="E224">
        <f>COUNTIFS('Quote Log'!$B:$B,"&lt;&gt;VOID",'Quote Log'!$B:$B,"&lt;&gt;Requoted",'Quote Log'!$H:$H,"&gt;="&amp;DATE(2025,3,9),'Quote Log'!$H:$H,"&lt;="&amp;DATE(2025,3,15))</f>
        <v>0</v>
      </c>
      <c r="F224">
        <f t="shared" si="107"/>
        <v>0</v>
      </c>
      <c r="G224">
        <f>COUNTIFS('Quote Log'!$C:$C,"&gt;="&amp;DATE(2025,3,9),'Quote Log'!$C:$C,"&lt;="&amp;DATE(2025,3,15),'Quote Log'!$B:$B,"=Purchased")</f>
        <v>0</v>
      </c>
      <c r="H224">
        <f t="shared" si="108"/>
        <v>0</v>
      </c>
      <c r="I224" s="339">
        <f t="shared" si="114"/>
        <v>0</v>
      </c>
      <c r="J224" s="339">
        <f t="shared" si="115"/>
        <v>0</v>
      </c>
      <c r="K224">
        <f>COUNTIFS('Quote Log'!$C:$C,"&gt;="&amp;DATE(2025,3,9),'Quote Log'!$C:$C,"&lt;="&amp;DATE(2025,3,15),'Quote Log'!$B:$B,"=LOST")</f>
        <v>0</v>
      </c>
      <c r="L224">
        <f>COUNTIFS('Quote Log'!$B:$B,"&lt;&gt;VOID",'Quote Log'!$B:$B,"&lt;&gt;Requoted",'Quote Log'!$C:$C,"&gt;="&amp;DATE(2025,3,9),'Quote Log'!$C:$C,"&lt;="&amp;DATE(2025,3,15),'Quote Log'!$V:$V,"=new")</f>
        <v>0</v>
      </c>
      <c r="M224" s="349">
        <f t="shared" si="116"/>
        <v>0</v>
      </c>
      <c r="N224" s="339">
        <f t="shared" si="117"/>
        <v>0</v>
      </c>
      <c r="O224" s="351">
        <f>SUMIFS('Quote Log'!$AB:$AB,'Quote Log'!$C:$C,"&gt;="&amp;DATE(2025,3,9),'Quote Log'!$C:$C,"&lt;="&amp;DATE(2025,3,15),'Quote Log'!$B:$B,"=Purchased",'Quote Log'!$AB:$AB,"&lt;&gt;#VALUE!")</f>
        <v>0</v>
      </c>
      <c r="P224" s="351">
        <f t="shared" si="118"/>
        <v>0</v>
      </c>
      <c r="Q224" s="349" t="e">
        <f t="shared" si="109"/>
        <v>#DIV/0!</v>
      </c>
      <c r="R224" s="349" t="e">
        <f t="shared" si="110"/>
        <v>#DIV/0!</v>
      </c>
      <c r="S224" s="351">
        <f t="shared" si="119"/>
        <v>0</v>
      </c>
      <c r="T224" s="351">
        <f t="shared" si="111"/>
        <v>0</v>
      </c>
      <c r="U224" s="349" t="e">
        <f t="shared" si="112"/>
        <v>#DIV/0!</v>
      </c>
      <c r="V224" s="349" t="e">
        <f t="shared" si="113"/>
        <v>#DIV/0!</v>
      </c>
    </row>
    <row r="225" spans="1:22" x14ac:dyDescent="0.25">
      <c r="A225">
        <v>2025</v>
      </c>
      <c r="B225" s="350">
        <v>12</v>
      </c>
      <c r="C225">
        <f>COUNTIFS('Quote Log'!$B:$B,"&lt;&gt;VOID",'Quote Log'!$B:$B,"&lt;&gt;Requoted",'Quote Log'!$C:$C,"&gt;="&amp;DATE(2025,3,16),'Quote Log'!$C:$C,"&lt;="&amp;DATE(2025,3,22))</f>
        <v>0</v>
      </c>
      <c r="D225">
        <f t="shared" si="106"/>
        <v>0</v>
      </c>
      <c r="E225">
        <f>COUNTIFS('Quote Log'!$B:$B,"&lt;&gt;VOID",'Quote Log'!$B:$B,"&lt;&gt;Requoted",'Quote Log'!$H:$H,"&gt;="&amp;DATE(2025,3,16),'Quote Log'!$H:$H,"&lt;="&amp;DATE(2025,3,22))</f>
        <v>0</v>
      </c>
      <c r="F225">
        <f t="shared" si="107"/>
        <v>0</v>
      </c>
      <c r="G225">
        <f>COUNTIFS('Quote Log'!$C:$C,"&gt;="&amp;DATE(2025,3,16),'Quote Log'!$C:$C,"&lt;="&amp;DATE(2025,3,22),'Quote Log'!$B:$B,"=Purchased")</f>
        <v>0</v>
      </c>
      <c r="H225">
        <f t="shared" si="108"/>
        <v>0</v>
      </c>
      <c r="I225" s="339">
        <f t="shared" si="114"/>
        <v>0</v>
      </c>
      <c r="J225" s="339">
        <f t="shared" si="115"/>
        <v>0</v>
      </c>
      <c r="K225">
        <f>COUNTIFS('Quote Log'!$C:$C,"&gt;="&amp;DATE(2025,3,16),'Quote Log'!$C:$C,"&lt;="&amp;DATE(2025,3,22),'Quote Log'!$B:$B,"=LOST")</f>
        <v>0</v>
      </c>
      <c r="L225">
        <f>COUNTIFS('Quote Log'!$B:$B,"&lt;&gt;VOID",'Quote Log'!$B:$B,"&lt;&gt;Requoted",'Quote Log'!$C:$C,"&gt;="&amp;DATE(2025,3,16),'Quote Log'!$C:$C,"&lt;="&amp;DATE(2025,3,22),'Quote Log'!$V:$V,"=new")</f>
        <v>0</v>
      </c>
      <c r="M225" s="349">
        <f t="shared" si="116"/>
        <v>0</v>
      </c>
      <c r="N225" s="339">
        <f t="shared" si="117"/>
        <v>0</v>
      </c>
      <c r="O225" s="351">
        <f>SUMIFS('Quote Log'!$AB:$AB,'Quote Log'!$C:$C,"&gt;="&amp;DATE(2025,3,16),'Quote Log'!$C:$C,"&lt;="&amp;DATE(2025,3,22),'Quote Log'!$B:$B,"=Purchased",'Quote Log'!$AB:$AB,"&lt;&gt;#VALUE!")</f>
        <v>0</v>
      </c>
      <c r="P225" s="351">
        <f t="shared" si="118"/>
        <v>0</v>
      </c>
      <c r="Q225" s="349" t="e">
        <f t="shared" si="109"/>
        <v>#DIV/0!</v>
      </c>
      <c r="R225" s="349" t="e">
        <f t="shared" si="110"/>
        <v>#DIV/0!</v>
      </c>
      <c r="S225" s="351">
        <f t="shared" si="119"/>
        <v>0</v>
      </c>
      <c r="T225" s="351">
        <f t="shared" si="111"/>
        <v>0</v>
      </c>
      <c r="U225" s="349" t="e">
        <f t="shared" si="112"/>
        <v>#DIV/0!</v>
      </c>
      <c r="V225" s="349" t="e">
        <f t="shared" si="113"/>
        <v>#DIV/0!</v>
      </c>
    </row>
    <row r="226" spans="1:22" x14ac:dyDescent="0.25">
      <c r="A226">
        <v>2025</v>
      </c>
      <c r="B226" s="350">
        <v>13</v>
      </c>
      <c r="C226">
        <f>COUNTIFS('Quote Log'!$B:$B,"&lt;&gt;VOID",'Quote Log'!$B:$B,"&lt;&gt;Requoted",'Quote Log'!$C:$C,"&gt;="&amp;DATE(2025,3,23),'Quote Log'!$C:$C,"&lt;="&amp;DATE(2025,3,29))</f>
        <v>0</v>
      </c>
      <c r="D226">
        <f t="shared" si="106"/>
        <v>0</v>
      </c>
      <c r="E226">
        <f>COUNTIFS('Quote Log'!$B:$B,"&lt;&gt;VOID",'Quote Log'!$B:$B,"&lt;&gt;Requoted",'Quote Log'!$H:$H,"&gt;="&amp;DATE(2025,3,23),'Quote Log'!$H:$H,"&lt;="&amp;DATE(2025,3,29))</f>
        <v>0</v>
      </c>
      <c r="F226">
        <f t="shared" si="107"/>
        <v>0</v>
      </c>
      <c r="G226">
        <f>COUNTIFS('Quote Log'!$C:$C,"&gt;="&amp;DATE(2025,3,23),'Quote Log'!$C:$C,"&lt;="&amp;DATE(2025,3,29),'Quote Log'!$B:$B,"=Purchased")</f>
        <v>0</v>
      </c>
      <c r="H226">
        <f t="shared" si="108"/>
        <v>0</v>
      </c>
      <c r="I226" s="339">
        <f t="shared" si="114"/>
        <v>0</v>
      </c>
      <c r="J226" s="339">
        <f t="shared" si="115"/>
        <v>0</v>
      </c>
      <c r="K226">
        <f>COUNTIFS('Quote Log'!$C:$C,"&gt;="&amp;DATE(2025,3,23),'Quote Log'!$C:$C,"&lt;="&amp;DATE(2025,3,29),'Quote Log'!$B:$B,"=LOST")</f>
        <v>0</v>
      </c>
      <c r="L226">
        <f>COUNTIFS('Quote Log'!$B:$B,"&lt;&gt;VOID",'Quote Log'!$B:$B,"&lt;&gt;Requoted",'Quote Log'!$C:$C,"&gt;="&amp;DATE(2025,3,23),'Quote Log'!$C:$C,"&lt;="&amp;DATE(2025,3,29),'Quote Log'!$V:$V,"=new")</f>
        <v>0</v>
      </c>
      <c r="M226" s="349">
        <f t="shared" si="116"/>
        <v>0</v>
      </c>
      <c r="N226" s="339">
        <f t="shared" si="117"/>
        <v>0</v>
      </c>
      <c r="O226" s="351">
        <f>SUMIFS('Quote Log'!$AB:$AB,'Quote Log'!$C:$C,"&gt;="&amp;DATE(2025,3,23),'Quote Log'!$C:$C,"&lt;="&amp;DATE(2025,3,29),'Quote Log'!$B:$B,"=Purchased",'Quote Log'!$AB:$AB,"&lt;&gt;#VALUE!")</f>
        <v>0</v>
      </c>
      <c r="P226" s="351">
        <f t="shared" si="118"/>
        <v>0</v>
      </c>
      <c r="Q226" s="349" t="e">
        <f t="shared" si="109"/>
        <v>#DIV/0!</v>
      </c>
      <c r="R226" s="349" t="e">
        <f t="shared" si="110"/>
        <v>#DIV/0!</v>
      </c>
      <c r="S226" s="351">
        <f t="shared" si="119"/>
        <v>0</v>
      </c>
      <c r="T226" s="351">
        <f t="shared" si="111"/>
        <v>0</v>
      </c>
      <c r="U226" s="349" t="e">
        <f t="shared" si="112"/>
        <v>#DIV/0!</v>
      </c>
      <c r="V226" s="349" t="e">
        <f t="shared" si="113"/>
        <v>#DIV/0!</v>
      </c>
    </row>
    <row r="227" spans="1:22" x14ac:dyDescent="0.25">
      <c r="A227">
        <v>2025</v>
      </c>
      <c r="B227" s="350">
        <v>14</v>
      </c>
      <c r="C227">
        <f>COUNTIFS('Quote Log'!$B:$B,"&lt;&gt;VOID",'Quote Log'!$B:$B,"&lt;&gt;Requoted",'Quote Log'!$C:$C,"&gt;="&amp;DATE(2025,3,30),'Quote Log'!$C:$C,"&lt;="&amp;DATE(2025,4,5))</f>
        <v>2</v>
      </c>
      <c r="D227">
        <f t="shared" si="106"/>
        <v>2</v>
      </c>
      <c r="E227">
        <f>COUNTIFS('Quote Log'!$B:$B,"&lt;&gt;VOID",'Quote Log'!$B:$B,"&lt;&gt;Requoted",'Quote Log'!$H:$H,"&gt;="&amp;DATE(2025,3,30),'Quote Log'!$H:$H,"&lt;="&amp;DATE(2025,4,5))</f>
        <v>2</v>
      </c>
      <c r="F227">
        <f t="shared" si="107"/>
        <v>2</v>
      </c>
      <c r="G227">
        <f>COUNTIFS('Quote Log'!$C:$C,"&gt;="&amp;DATE(2025,3,30),'Quote Log'!$C:$C,"&lt;="&amp;DATE(2025,4,5),'Quote Log'!$B:$B,"=Purchased")</f>
        <v>0</v>
      </c>
      <c r="H227">
        <f t="shared" si="108"/>
        <v>0</v>
      </c>
      <c r="I227" s="339">
        <f t="shared" si="114"/>
        <v>0</v>
      </c>
      <c r="J227" s="339">
        <f t="shared" si="115"/>
        <v>0</v>
      </c>
      <c r="K227">
        <f>COUNTIFS('Quote Log'!$C:$C,"&gt;="&amp;DATE(2025,3,30),'Quote Log'!$C:$C,"&lt;="&amp;DATE(2025,4,5),'Quote Log'!$B:$B,"=LOST")</f>
        <v>0</v>
      </c>
      <c r="L227">
        <f>COUNTIFS('Quote Log'!$B:$B,"&lt;&gt;VOID",'Quote Log'!$B:$B,"&lt;&gt;Requoted",'Quote Log'!$C:$C,"&gt;="&amp;DATE(2025,3,30),'Quote Log'!$C:$C,"&lt;="&amp;DATE(2025,4,5),'Quote Log'!$V:$V,"=new")</f>
        <v>2</v>
      </c>
      <c r="M227" s="349">
        <f t="shared" si="116"/>
        <v>1</v>
      </c>
      <c r="N227" s="339">
        <f t="shared" si="117"/>
        <v>1</v>
      </c>
      <c r="O227" s="351">
        <f>SUMIFS('Quote Log'!$AB:$AB,'Quote Log'!$C:$C,"&gt;="&amp;DATE(2025,3,30),'Quote Log'!$C:$C,"&lt;="&amp;DATE(2025,4,5),'Quote Log'!$B:$B,"=Purchased",'Quote Log'!$AB:$AB,"&lt;&gt;#VALUE!")</f>
        <v>0</v>
      </c>
      <c r="P227" s="351">
        <f t="shared" si="118"/>
        <v>0</v>
      </c>
      <c r="Q227" s="349" t="e">
        <f t="shared" si="109"/>
        <v>#DIV/0!</v>
      </c>
      <c r="R227" s="349" t="e">
        <f t="shared" si="110"/>
        <v>#DIV/0!</v>
      </c>
      <c r="S227" s="351">
        <f t="shared" si="119"/>
        <v>0</v>
      </c>
      <c r="T227" s="351">
        <f t="shared" si="111"/>
        <v>0</v>
      </c>
      <c r="U227" s="349" t="e">
        <f t="shared" si="112"/>
        <v>#DIV/0!</v>
      </c>
      <c r="V227" s="349" t="e">
        <f t="shared" si="113"/>
        <v>#DIV/0!</v>
      </c>
    </row>
    <row r="228" spans="1:22" x14ac:dyDescent="0.25">
      <c r="A228">
        <v>2025</v>
      </c>
      <c r="B228" s="350">
        <v>15</v>
      </c>
      <c r="C228">
        <f>COUNTIFS('Quote Log'!$B:$B,"&lt;&gt;VOID",'Quote Log'!$B:$B,"&lt;&gt;Requoted",'Quote Log'!$C:$C,"&gt;="&amp;DATE(2025,4,6),'Quote Log'!$C:$C,"&lt;="&amp;DATE(2025,4,12))</f>
        <v>0</v>
      </c>
      <c r="D228">
        <f t="shared" ref="D228:D235" si="120">IF($Z$5,C228,NA())</f>
        <v>0</v>
      </c>
      <c r="E228">
        <f>COUNTIFS('Quote Log'!$B:$B,"&lt;&gt;VOID",'Quote Log'!$B:$B,"&lt;&gt;Requoted",'Quote Log'!$H:$H,"&gt;="&amp;DATE(2025,4,6),'Quote Log'!$H:$H,"&lt;="&amp;DATE(2025,4,12))</f>
        <v>0</v>
      </c>
      <c r="F228">
        <f t="shared" ref="F228:F235" si="121">IF($Z$5,E228,NA())</f>
        <v>0</v>
      </c>
      <c r="G228">
        <f>COUNTIFS('Quote Log'!$C:$C,"&gt;="&amp;DATE(2025,4,6),'Quote Log'!$C:$C,"&lt;="&amp;DATE(2025,4,12),'Quote Log'!$B:$B,"=Purchased")</f>
        <v>0</v>
      </c>
      <c r="H228">
        <f t="shared" ref="H228:H235" si="122">IF(Z$5,G228,NA())</f>
        <v>0</v>
      </c>
      <c r="I228" s="339">
        <f t="shared" si="114"/>
        <v>0</v>
      </c>
      <c r="J228" s="339">
        <f t="shared" si="115"/>
        <v>0</v>
      </c>
      <c r="K228">
        <f>COUNTIFS('Quote Log'!$C:$C,"&gt;="&amp;DATE(2025,4,6),'Quote Log'!$C:$C,"&lt;="&amp;DATE(2025,4,12),'Quote Log'!$B:$B,"=LOST")</f>
        <v>0</v>
      </c>
      <c r="L228">
        <f>COUNTIFS('Quote Log'!$B:$B,"&lt;&gt;VOID",'Quote Log'!$B:$B,"&lt;&gt;Requoted",'Quote Log'!$C:$C,"&gt;="&amp;DATE(2025,4,6),'Quote Log'!$C:$C,"&lt;="&amp;DATE(2025,4,12),'Quote Log'!$V:$V,"=new")</f>
        <v>0</v>
      </c>
      <c r="M228" s="349">
        <f t="shared" si="116"/>
        <v>0</v>
      </c>
      <c r="N228" s="339">
        <f t="shared" si="117"/>
        <v>0</v>
      </c>
      <c r="O228" s="351">
        <f>SUMIFS('Quote Log'!$AB:$AB,'Quote Log'!$C:$C,"&gt;="&amp;DATE(2025,4,6),'Quote Log'!$C:$C,"&lt;="&amp;DATE(2025,4,12),'Quote Log'!$B:$B,"=Purchased",'Quote Log'!$AB:$AB,"&lt;&gt;#VALUE!")</f>
        <v>0</v>
      </c>
      <c r="P228" s="351">
        <f t="shared" si="118"/>
        <v>0</v>
      </c>
      <c r="Q228" s="349" t="e">
        <f t="shared" ref="Q228:Q235" si="123">(O228-O175)/O175</f>
        <v>#DIV/0!</v>
      </c>
      <c r="R228" s="349" t="e">
        <f t="shared" ref="R228:R235" si="124">IF($Z$5,Q228,NA())</f>
        <v>#DIV/0!</v>
      </c>
      <c r="S228" s="351">
        <f t="shared" si="119"/>
        <v>0</v>
      </c>
      <c r="T228" s="351">
        <f t="shared" ref="T228:T235" si="125">IF($Z$5,S228,NA())</f>
        <v>0</v>
      </c>
      <c r="U228" s="349" t="e">
        <f t="shared" ref="U228:U235" si="126">(S228-S175)/S175</f>
        <v>#DIV/0!</v>
      </c>
      <c r="V228" s="349" t="e">
        <f t="shared" si="113"/>
        <v>#DIV/0!</v>
      </c>
    </row>
    <row r="229" spans="1:22" x14ac:dyDescent="0.25">
      <c r="A229">
        <v>2025</v>
      </c>
      <c r="B229" s="350">
        <v>16</v>
      </c>
      <c r="C229">
        <f>COUNTIFS('Quote Log'!$B:$B,"&lt;&gt;VOID",'Quote Log'!$B:$B,"&lt;&gt;Requoted",'Quote Log'!$C:$C,"&gt;="&amp;DATE(2025,4,13),'Quote Log'!$C:$C,"&lt;="&amp;DATE(2025,4,19))</f>
        <v>0</v>
      </c>
      <c r="D229">
        <f t="shared" si="120"/>
        <v>0</v>
      </c>
      <c r="E229">
        <f>COUNTIFS('Quote Log'!$B:$B,"&lt;&gt;VOID",'Quote Log'!$B:$B,"&lt;&gt;Requoted",'Quote Log'!$H:$H,"&gt;="&amp;DATE(2025,4,13),'Quote Log'!$H:$H,"&lt;="&amp;DATE(2025,4,19))</f>
        <v>0</v>
      </c>
      <c r="F229">
        <f t="shared" si="121"/>
        <v>0</v>
      </c>
      <c r="G229">
        <f>COUNTIFS('Quote Log'!$C:$C,"&gt;="&amp;DATE(2025,4,13),'Quote Log'!$C:$C,"&lt;="&amp;DATE(2025,4,19),'Quote Log'!$B:$B,"=Purchased")</f>
        <v>0</v>
      </c>
      <c r="H229">
        <f t="shared" si="122"/>
        <v>0</v>
      </c>
      <c r="I229" s="339">
        <f t="shared" si="114"/>
        <v>0</v>
      </c>
      <c r="J229" s="339">
        <f t="shared" si="115"/>
        <v>0</v>
      </c>
      <c r="K229">
        <f>COUNTIFS('Quote Log'!$C:$C,"&gt;="&amp;DATE(2025,4,13),'Quote Log'!$C:$C,"&lt;="&amp;DATE(2025,4,19),'Quote Log'!$B:$B,"=LOST")</f>
        <v>0</v>
      </c>
      <c r="L229">
        <f>COUNTIFS('Quote Log'!$B:$B,"&lt;&gt;VOID",'Quote Log'!$B:$B,"&lt;&gt;Requoted",'Quote Log'!$C:$C,"&gt;="&amp;DATE(2025,4,13),'Quote Log'!$C:$C,"&lt;="&amp;DATE(2025,4,19),'Quote Log'!$V:$V,"=new")</f>
        <v>0</v>
      </c>
      <c r="M229" s="349">
        <f t="shared" si="116"/>
        <v>0</v>
      </c>
      <c r="N229" s="339">
        <f t="shared" si="117"/>
        <v>0</v>
      </c>
      <c r="O229" s="351">
        <f>SUMIFS('Quote Log'!$AB:$AB,'Quote Log'!$C:$C,"&gt;="&amp;DATE(2025,4,13),'Quote Log'!$C:$C,"&lt;="&amp;DATE(2025,4,19),'Quote Log'!$B:$B,"=Purchased",'Quote Log'!$AB:$AB,"&lt;&gt;#VALUE!")</f>
        <v>0</v>
      </c>
      <c r="P229" s="351">
        <f t="shared" si="118"/>
        <v>0</v>
      </c>
      <c r="Q229" s="349" t="e">
        <f t="shared" si="123"/>
        <v>#DIV/0!</v>
      </c>
      <c r="R229" s="349" t="e">
        <f t="shared" si="124"/>
        <v>#DIV/0!</v>
      </c>
      <c r="S229" s="351">
        <f t="shared" si="119"/>
        <v>0</v>
      </c>
      <c r="T229" s="351">
        <f t="shared" si="125"/>
        <v>0</v>
      </c>
      <c r="U229" s="349" t="e">
        <f t="shared" si="126"/>
        <v>#DIV/0!</v>
      </c>
      <c r="V229" s="349" t="e">
        <f t="shared" si="113"/>
        <v>#DIV/0!</v>
      </c>
    </row>
    <row r="230" spans="1:22" x14ac:dyDescent="0.25">
      <c r="A230">
        <v>2025</v>
      </c>
      <c r="B230" s="350">
        <v>17</v>
      </c>
      <c r="C230">
        <f>COUNTIFS('Quote Log'!$B:$B,"&lt;&gt;VOID",'Quote Log'!$B:$B,"&lt;&gt;Requoted",'Quote Log'!$C:$C,"&gt;="&amp;DATE(2025,4,20),'Quote Log'!$C:$C,"&lt;="&amp;DATE(2025,4,26))</f>
        <v>0</v>
      </c>
      <c r="D230">
        <f t="shared" si="120"/>
        <v>0</v>
      </c>
      <c r="E230">
        <f>COUNTIFS('Quote Log'!$B:$B,"&lt;&gt;VOID",'Quote Log'!$B:$B,"&lt;&gt;Requoted",'Quote Log'!$H:$H,"&gt;="&amp;DATE(2025,4,20),'Quote Log'!$H:$H,"&lt;="&amp;DATE(2025,4,26))</f>
        <v>0</v>
      </c>
      <c r="F230">
        <f t="shared" si="121"/>
        <v>0</v>
      </c>
      <c r="G230">
        <f>COUNTIFS('Quote Log'!$C:$C,"&gt;="&amp;DATE(2025,4,20),'Quote Log'!$C:$C,"&lt;="&amp;DATE(2025,4,26),'Quote Log'!$B:$B,"=Purchased")</f>
        <v>0</v>
      </c>
      <c r="H230">
        <f t="shared" si="122"/>
        <v>0</v>
      </c>
      <c r="I230" s="339">
        <f t="shared" si="114"/>
        <v>0</v>
      </c>
      <c r="J230" s="339">
        <f t="shared" si="115"/>
        <v>0</v>
      </c>
      <c r="K230">
        <f>COUNTIFS('Quote Log'!$C:$C,"&gt;="&amp;DATE(2025,4,20),'Quote Log'!$C:$C,"&lt;="&amp;DATE(2025,4,26),'Quote Log'!$B:$B,"=LOST")</f>
        <v>0</v>
      </c>
      <c r="L230">
        <f>COUNTIFS('Quote Log'!$B:$B,"&lt;&gt;VOID",'Quote Log'!$B:$B,"&lt;&gt;Requoted",'Quote Log'!$C:$C,"&gt;="&amp;DATE(2025,4,20),'Quote Log'!$C:$C,"&lt;="&amp;DATE(2025,4,26),'Quote Log'!$V:$V,"=new")</f>
        <v>0</v>
      </c>
      <c r="M230" s="349">
        <f t="shared" si="116"/>
        <v>0</v>
      </c>
      <c r="N230" s="339">
        <f t="shared" si="117"/>
        <v>0</v>
      </c>
      <c r="O230" s="351">
        <f>SUMIFS('Quote Log'!$AB:$AB,'Quote Log'!$C:$C,"&gt;="&amp;DATE(2025,4,20),'Quote Log'!$C:$C,"&lt;="&amp;DATE(2025,4,26),'Quote Log'!$B:$B,"=Purchased",'Quote Log'!$AB:$AB,"&lt;&gt;#VALUE!")</f>
        <v>0</v>
      </c>
      <c r="P230" s="351">
        <f t="shared" si="118"/>
        <v>0</v>
      </c>
      <c r="Q230" s="349" t="e">
        <f t="shared" si="123"/>
        <v>#DIV/0!</v>
      </c>
      <c r="R230" s="349" t="e">
        <f t="shared" si="124"/>
        <v>#DIV/0!</v>
      </c>
      <c r="S230" s="351">
        <f t="shared" si="119"/>
        <v>0</v>
      </c>
      <c r="T230" s="351">
        <f t="shared" si="125"/>
        <v>0</v>
      </c>
      <c r="U230" s="349" t="e">
        <f t="shared" si="126"/>
        <v>#DIV/0!</v>
      </c>
      <c r="V230" s="349" t="e">
        <f t="shared" si="113"/>
        <v>#DIV/0!</v>
      </c>
    </row>
    <row r="231" spans="1:22" x14ac:dyDescent="0.25">
      <c r="A231">
        <v>2025</v>
      </c>
      <c r="B231" s="350">
        <v>18</v>
      </c>
      <c r="C231">
        <f>COUNTIFS('Quote Log'!$B:$B,"&lt;&gt;VOID",'Quote Log'!$B:$B,"&lt;&gt;Requoted",'Quote Log'!$C:$C,"&gt;="&amp;DATE(2025,4,27),'Quote Log'!$C:$C,"&lt;="&amp;DATE(2025,5,3))</f>
        <v>0</v>
      </c>
      <c r="D231">
        <f t="shared" si="120"/>
        <v>0</v>
      </c>
      <c r="E231">
        <f>COUNTIFS('Quote Log'!$B:$B,"&lt;&gt;VOID",'Quote Log'!$B:$B,"&lt;&gt;Requoted",'Quote Log'!$H:$H,"&gt;="&amp;DATE(2025,4,27),'Quote Log'!$H:$H,"&lt;="&amp;DATE(2025,5,3))</f>
        <v>0</v>
      </c>
      <c r="F231">
        <f t="shared" si="121"/>
        <v>0</v>
      </c>
      <c r="G231">
        <f>COUNTIFS('Quote Log'!$C:$C,"&gt;="&amp;DATE(2025,4,27),'Quote Log'!$C:$C,"&lt;="&amp;DATE(2025,5,3),'Quote Log'!$B:$B,"=Purchased")</f>
        <v>0</v>
      </c>
      <c r="H231">
        <f t="shared" si="122"/>
        <v>0</v>
      </c>
      <c r="I231" s="339">
        <f t="shared" si="114"/>
        <v>0</v>
      </c>
      <c r="J231" s="339">
        <f t="shared" si="115"/>
        <v>0</v>
      </c>
      <c r="K231">
        <f>COUNTIFS('Quote Log'!$C:$C,"&gt;="&amp;DATE(2025,4,27),'Quote Log'!$C:$C,"&lt;="&amp;DATE(2025,5,3),'Quote Log'!$B:$B,"=LOST")</f>
        <v>0</v>
      </c>
      <c r="L231">
        <f>COUNTIFS('Quote Log'!$B:$B,"&lt;&gt;VOID",'Quote Log'!$B:$B,"&lt;&gt;Requoted",'Quote Log'!$C:$C,"&gt;="&amp;DATE(2025,4,27),'Quote Log'!$C:$C,"&lt;="&amp;DATE(2025,5,3),'Quote Log'!$V:$V,"=new")</f>
        <v>0</v>
      </c>
      <c r="M231" s="349">
        <f t="shared" si="116"/>
        <v>0</v>
      </c>
      <c r="N231" s="339">
        <f t="shared" si="117"/>
        <v>0</v>
      </c>
      <c r="O231" s="351">
        <f>SUMIFS('Quote Log'!$AB:$AB,'Quote Log'!$C:$C,"&gt;="&amp;DATE(2025,4,27),'Quote Log'!$C:$C,"&lt;="&amp;DATE(2025,5,3),'Quote Log'!$B:$B,"=Purchased",'Quote Log'!$AB:$AB,"&lt;&gt;#VALUE!")</f>
        <v>0</v>
      </c>
      <c r="P231" s="351">
        <f t="shared" si="118"/>
        <v>0</v>
      </c>
      <c r="Q231" s="349" t="e">
        <f t="shared" si="123"/>
        <v>#DIV/0!</v>
      </c>
      <c r="R231" s="349" t="e">
        <f t="shared" si="124"/>
        <v>#DIV/0!</v>
      </c>
      <c r="S231" s="351">
        <f t="shared" si="119"/>
        <v>0</v>
      </c>
      <c r="T231" s="351">
        <f t="shared" si="125"/>
        <v>0</v>
      </c>
      <c r="U231" s="349" t="e">
        <f t="shared" si="126"/>
        <v>#DIV/0!</v>
      </c>
      <c r="V231" s="349" t="e">
        <f t="shared" si="113"/>
        <v>#DIV/0!</v>
      </c>
    </row>
    <row r="232" spans="1:22" x14ac:dyDescent="0.25">
      <c r="A232">
        <v>2025</v>
      </c>
      <c r="B232" s="350">
        <v>19</v>
      </c>
      <c r="C232">
        <f>COUNTIFS('Quote Log'!$B:$B,"&lt;&gt;VOID",'Quote Log'!$B:$B,"&lt;&gt;Requoted",'Quote Log'!$C:$C,"&gt;="&amp;DATE(2025,5,4),'Quote Log'!$C:$C,"&lt;="&amp;DATE(2025,5,10))</f>
        <v>4</v>
      </c>
      <c r="D232">
        <f t="shared" si="120"/>
        <v>4</v>
      </c>
      <c r="E232">
        <f>COUNTIFS('Quote Log'!$B:$B,"&lt;&gt;VOID",'Quote Log'!$B:$B,"&lt;&gt;Requoted",'Quote Log'!$H:$H,"&gt;="&amp;DATE(2025,5,4),'Quote Log'!$H:$H,"&lt;="&amp;DATE(2025,5,10))</f>
        <v>0</v>
      </c>
      <c r="F232">
        <f t="shared" si="121"/>
        <v>0</v>
      </c>
      <c r="G232">
        <f>COUNTIFS('Quote Log'!$C:$C,"&gt;="&amp;DATE(2025,5,4),'Quote Log'!$C:$C,"&lt;="&amp;DATE(2025,5,10),'Quote Log'!$B:$B,"=Purchased")</f>
        <v>0</v>
      </c>
      <c r="H232">
        <f t="shared" si="122"/>
        <v>0</v>
      </c>
      <c r="I232" s="339">
        <f>IF(C232&lt;&gt;0,G232/C232,0)</f>
        <v>0</v>
      </c>
      <c r="J232" s="339">
        <f>IF($Z$5,I232,NA())</f>
        <v>0</v>
      </c>
      <c r="K232">
        <f>COUNTIFS('Quote Log'!$C:$C,"&gt;="&amp;DATE(2025,5,4),'Quote Log'!$C:$C,"&lt;="&amp;DATE(2025,5,10),'Quote Log'!$B:$B,"=LOST")</f>
        <v>0</v>
      </c>
      <c r="L232">
        <f>COUNTIFS('Quote Log'!$B:$B,"&lt;&gt;VOID",'Quote Log'!$B:$B,"&lt;&gt;Requoted",'Quote Log'!$C:$C,"&gt;="&amp;DATE(2025,5,4),'Quote Log'!$C:$C,"&lt;="&amp;DATE(2025,5,10),'Quote Log'!$V:$V,"=new")</f>
        <v>4</v>
      </c>
      <c r="M232" s="349">
        <f>IF(C232&lt;&gt;0,L232/C232,0)</f>
        <v>1</v>
      </c>
      <c r="N232" s="339">
        <f>IF($Z$5,M232,NA())</f>
        <v>1</v>
      </c>
      <c r="O232" s="351">
        <f>SUMIFS('Quote Log'!$AB:$AB,'Quote Log'!$C:$C,"&gt;="&amp;DATE(2025,5,4),'Quote Log'!$C:$C,"&lt;="&amp;DATE(2025,5,10),'Quote Log'!$B:$B,"=Purchased",'Quote Log'!$AB:$AB,"&lt;&gt;#VALUE!")</f>
        <v>0</v>
      </c>
      <c r="P232" s="351">
        <f>IF($Z$5,O232,NA())</f>
        <v>0</v>
      </c>
      <c r="Q232" s="349" t="e">
        <f t="shared" si="123"/>
        <v>#DIV/0!</v>
      </c>
      <c r="R232" s="349" t="e">
        <f t="shared" si="124"/>
        <v>#DIV/0!</v>
      </c>
      <c r="S232" s="351">
        <f>O232+S231</f>
        <v>0</v>
      </c>
      <c r="T232" s="351">
        <f t="shared" si="125"/>
        <v>0</v>
      </c>
      <c r="U232" s="349" t="e">
        <f t="shared" si="126"/>
        <v>#DIV/0!</v>
      </c>
      <c r="V232" s="349" t="e">
        <f t="shared" si="113"/>
        <v>#DIV/0!</v>
      </c>
    </row>
    <row r="233" spans="1:22" x14ac:dyDescent="0.25">
      <c r="A233">
        <v>2025</v>
      </c>
      <c r="B233" s="350">
        <v>20</v>
      </c>
      <c r="C233">
        <f>COUNTIFS('Quote Log'!$B:$B,"&lt;&gt;VOID",'Quote Log'!$B:$B,"&lt;&gt;Requoted",'Quote Log'!$C:$C,"&gt;="&amp;DATE(2025,5,11),'Quote Log'!$C:$C,"&lt;="&amp;DATE(2025,5,17))</f>
        <v>0</v>
      </c>
      <c r="D233">
        <f t="shared" si="120"/>
        <v>0</v>
      </c>
      <c r="E233">
        <f>COUNTIFS('Quote Log'!$B:$B,"&lt;&gt;VOID",'Quote Log'!$B:$B,"&lt;&gt;Requoted",'Quote Log'!$H:$H,"&gt;="&amp;DATE(2025,5,11),'Quote Log'!$H:$H,"&lt;="&amp;DATE(2025,5,17))</f>
        <v>0</v>
      </c>
      <c r="F233">
        <f t="shared" si="121"/>
        <v>0</v>
      </c>
      <c r="G233">
        <f>COUNTIFS('Quote Log'!$C:$C,"&gt;="&amp;DATE(2025,5,11),'Quote Log'!$C:$C,"&lt;="&amp;DATE(2025,5,17),'Quote Log'!$B:$B,"=Purchased")</f>
        <v>0</v>
      </c>
      <c r="H233">
        <f t="shared" si="122"/>
        <v>0</v>
      </c>
      <c r="I233" s="339">
        <f>IF(C233&lt;&gt;0,G233/C233,0)</f>
        <v>0</v>
      </c>
      <c r="J233" s="339">
        <f>IF($Z$5,I233,NA())</f>
        <v>0</v>
      </c>
      <c r="K233">
        <f>COUNTIFS('Quote Log'!$C:$C,"&gt;="&amp;DATE(2025,5,11),'Quote Log'!$C:$C,"&lt;="&amp;DATE(2025,5,17),'Quote Log'!$B:$B,"=LOST")</f>
        <v>0</v>
      </c>
      <c r="L233">
        <f>COUNTIFS('Quote Log'!$B:$B,"&lt;&gt;VOID",'Quote Log'!$B:$B,"&lt;&gt;Requoted",'Quote Log'!$C:$C,"&gt;="&amp;DATE(2025,5,11),'Quote Log'!$C:$C,"&lt;="&amp;DATE(2025,5,17),'Quote Log'!$V:$V,"=new")</f>
        <v>0</v>
      </c>
      <c r="M233" s="349">
        <f>IF(C233&lt;&gt;0,L233/C233,0)</f>
        <v>0</v>
      </c>
      <c r="N233" s="339">
        <f>IF($Z$5,M233,NA())</f>
        <v>0</v>
      </c>
      <c r="O233" s="351">
        <f>SUMIFS('Quote Log'!$AB:$AB,'Quote Log'!$C:$C,"&gt;="&amp;DATE(2025,5,11),'Quote Log'!$C:$C,"&lt;="&amp;DATE(2025,5,17),'Quote Log'!$B:$B,"=Purchased",'Quote Log'!$AB:$AB,"&lt;&gt;#VALUE!")</f>
        <v>0</v>
      </c>
      <c r="P233" s="351">
        <f>IF($Z$5,O233,NA())</f>
        <v>0</v>
      </c>
      <c r="Q233" s="349" t="e">
        <f t="shared" si="123"/>
        <v>#DIV/0!</v>
      </c>
      <c r="R233" s="349" t="e">
        <f t="shared" si="124"/>
        <v>#DIV/0!</v>
      </c>
      <c r="S233" s="351">
        <f>O233+S232</f>
        <v>0</v>
      </c>
      <c r="T233" s="351">
        <f t="shared" si="125"/>
        <v>0</v>
      </c>
      <c r="U233" s="349" t="e">
        <f t="shared" si="126"/>
        <v>#DIV/0!</v>
      </c>
      <c r="V233" s="349" t="e">
        <f t="shared" si="113"/>
        <v>#DIV/0!</v>
      </c>
    </row>
    <row r="234" spans="1:22" x14ac:dyDescent="0.25">
      <c r="A234">
        <v>2025</v>
      </c>
      <c r="B234" s="350">
        <v>21</v>
      </c>
      <c r="C234">
        <f>COUNTIFS('Quote Log'!$B:$B,"&lt;&gt;VOID",'Quote Log'!$B:$B,"&lt;&gt;Requoted",'Quote Log'!$C:$C,"&gt;="&amp;DATE(2025,5,18),'Quote Log'!$C:$C,"&lt;="&amp;DATE(2025,5,24))</f>
        <v>0</v>
      </c>
      <c r="D234">
        <f t="shared" si="120"/>
        <v>0</v>
      </c>
      <c r="E234">
        <f>COUNTIFS('Quote Log'!$B:$B,"&lt;&gt;VOID",'Quote Log'!$B:$B,"&lt;&gt;Requoted",'Quote Log'!$H:$H,"&gt;="&amp;DATE(2025,5,18),'Quote Log'!$H:$H,"&lt;="&amp;DATE(2025,5,24))</f>
        <v>4</v>
      </c>
      <c r="F234">
        <f t="shared" si="121"/>
        <v>4</v>
      </c>
      <c r="G234">
        <f>COUNTIFS('Quote Log'!$C:$C,"&gt;="&amp;DATE(2025,5,18),'Quote Log'!$C:$C,"&lt;="&amp;DATE(2025,5,24),'Quote Log'!$B:$B,"=Purchased")</f>
        <v>0</v>
      </c>
      <c r="H234">
        <f t="shared" si="122"/>
        <v>0</v>
      </c>
      <c r="I234" s="339">
        <f>IF(C234&lt;&gt;0,G234/C234,0)</f>
        <v>0</v>
      </c>
      <c r="J234" s="339">
        <f>IF($Z$5,I234,NA())</f>
        <v>0</v>
      </c>
      <c r="K234">
        <f>COUNTIFS('Quote Log'!$C:$C,"&gt;="&amp;DATE(2025,5,18),'Quote Log'!$C:$C,"&lt;="&amp;DATE(2025,5,24),'Quote Log'!$B:$B,"=LOST")</f>
        <v>0</v>
      </c>
      <c r="L234">
        <f>COUNTIFS('Quote Log'!$B:$B,"&lt;&gt;VOID",'Quote Log'!$B:$B,"&lt;&gt;Requoted",'Quote Log'!$C:$C,"&gt;="&amp;DATE(2025,5,18),'Quote Log'!$C:$C,"&lt;="&amp;DATE(2025,5,24),'Quote Log'!$V:$V,"=new")</f>
        <v>0</v>
      </c>
      <c r="M234" s="349">
        <f>IF(C234&lt;&gt;0,L234/C234,0)</f>
        <v>0</v>
      </c>
      <c r="N234" s="339">
        <f>IF($Z$5,M234,NA())</f>
        <v>0</v>
      </c>
      <c r="O234" s="351">
        <f>SUMIFS('Quote Log'!$AB:$AB,'Quote Log'!$C:$C,"&gt;="&amp;DATE(2025,5,18),'Quote Log'!$C:$C,"&lt;="&amp;DATE(2025,5,24),'Quote Log'!$B:$B,"=Purchased",'Quote Log'!$AB:$AB,"&lt;&gt;#VALUE!")</f>
        <v>0</v>
      </c>
      <c r="P234" s="351">
        <f>IF($Z$5,O234,NA())</f>
        <v>0</v>
      </c>
      <c r="Q234" s="349" t="e">
        <f t="shared" si="123"/>
        <v>#DIV/0!</v>
      </c>
      <c r="R234" s="349" t="e">
        <f t="shared" si="124"/>
        <v>#DIV/0!</v>
      </c>
      <c r="S234" s="351">
        <f>O234+S233</f>
        <v>0</v>
      </c>
      <c r="T234" s="351">
        <f t="shared" si="125"/>
        <v>0</v>
      </c>
      <c r="U234" s="349" t="e">
        <f t="shared" si="126"/>
        <v>#DIV/0!</v>
      </c>
      <c r="V234" s="349" t="e">
        <f t="shared" si="113"/>
        <v>#DIV/0!</v>
      </c>
    </row>
    <row r="235" spans="1:22" x14ac:dyDescent="0.25">
      <c r="A235">
        <v>2025</v>
      </c>
      <c r="B235" s="350">
        <v>22</v>
      </c>
      <c r="C235">
        <f>COUNTIFS('Quote Log'!$B:$B,"&lt;&gt;VOID",'Quote Log'!$B:$B,"&lt;&gt;Requoted",'Quote Log'!$C:$C,"&gt;="&amp;DATE(2025,5,25),'Quote Log'!$C:$C,"&lt;="&amp;DATE(2025,5,31))</f>
        <v>6</v>
      </c>
      <c r="D235">
        <f t="shared" si="120"/>
        <v>6</v>
      </c>
      <c r="E235">
        <f>COUNTIFS('Quote Log'!$B:$B,"&lt;&gt;VOID",'Quote Log'!$B:$B,"&lt;&gt;Requoted",'Quote Log'!$H:$H,"&gt;="&amp;DATE(2025,5,25),'Quote Log'!$H:$H,"&lt;="&amp;DATE(2025,5,31))</f>
        <v>2</v>
      </c>
      <c r="F235">
        <f t="shared" si="121"/>
        <v>2</v>
      </c>
      <c r="G235">
        <f>COUNTIFS('Quote Log'!$C:$C,"&gt;="&amp;DATE(2025,5,25),'Quote Log'!$C:$C,"&lt;="&amp;DATE(2025,5,31),'Quote Log'!$B:$B,"=Purchased")</f>
        <v>1</v>
      </c>
      <c r="H235">
        <f t="shared" si="122"/>
        <v>1</v>
      </c>
      <c r="I235" s="339">
        <f>IF(C235&lt;&gt;0,G235/C235,0)</f>
        <v>0.16666666666666666</v>
      </c>
      <c r="J235" s="339">
        <f>IF($Z$5,I235,NA())</f>
        <v>0.16666666666666666</v>
      </c>
      <c r="K235">
        <f>COUNTIFS('Quote Log'!$C:$C,"&gt;="&amp;DATE(2025,5,25),'Quote Log'!$C:$C,"&lt;="&amp;DATE(2025,5,31),'Quote Log'!$B:$B,"=LOST")</f>
        <v>0</v>
      </c>
      <c r="L235">
        <f>COUNTIFS('Quote Log'!$B:$B,"&lt;&gt;VOID",'Quote Log'!$B:$B,"&lt;&gt;Requoted",'Quote Log'!$C:$C,"&gt;="&amp;DATE(2025,5,25),'Quote Log'!$C:$C,"&lt;="&amp;DATE(2025,5,31),'Quote Log'!$V:$V,"=new")</f>
        <v>4</v>
      </c>
      <c r="M235" s="349">
        <f>IF(C235&lt;&gt;0,L235/C235,0)</f>
        <v>0.66666666666666663</v>
      </c>
      <c r="N235" s="339">
        <f>IF($Z$5,M235,NA())</f>
        <v>0.66666666666666663</v>
      </c>
      <c r="O235" s="351">
        <f>SUMIFS('Quote Log'!$AB:$AB,'Quote Log'!$C:$C,"&gt;="&amp;DATE(2025,5,25),'Quote Log'!$C:$C,"&lt;="&amp;DATE(2025,5,31),'Quote Log'!$B:$B,"=Purchased",'Quote Log'!$AB:$AB,"&lt;&gt;#VALUE!")</f>
        <v>528.6</v>
      </c>
      <c r="P235" s="351">
        <f>IF($Z$5,O235,NA())</f>
        <v>528.6</v>
      </c>
      <c r="Q235" s="349" t="e">
        <f t="shared" si="123"/>
        <v>#DIV/0!</v>
      </c>
      <c r="R235" s="349" t="e">
        <f t="shared" si="124"/>
        <v>#DIV/0!</v>
      </c>
      <c r="S235" s="351">
        <f>O235+S234</f>
        <v>528.6</v>
      </c>
      <c r="T235" s="351">
        <f t="shared" si="125"/>
        <v>528.6</v>
      </c>
      <c r="U235" s="349" t="e">
        <f t="shared" si="126"/>
        <v>#DIV/0!</v>
      </c>
      <c r="V235" s="349" t="e">
        <f t="shared" si="113"/>
        <v>#DIV/0!</v>
      </c>
    </row>
    <row r="236" spans="1:22" x14ac:dyDescent="0.25">
      <c r="A236">
        <v>2025</v>
      </c>
      <c r="B236" s="350">
        <v>23</v>
      </c>
    </row>
    <row r="237" spans="1:22" x14ac:dyDescent="0.25">
      <c r="A237">
        <v>2025</v>
      </c>
      <c r="B237" s="350">
        <v>24</v>
      </c>
    </row>
    <row r="238" spans="1:22" x14ac:dyDescent="0.25">
      <c r="A238">
        <v>2025</v>
      </c>
      <c r="B238" s="350">
        <v>25</v>
      </c>
    </row>
    <row r="239" spans="1:22" x14ac:dyDescent="0.25">
      <c r="A239">
        <v>2025</v>
      </c>
      <c r="B239" s="350">
        <v>26</v>
      </c>
    </row>
    <row r="240" spans="1:22" x14ac:dyDescent="0.25">
      <c r="A240">
        <v>2025</v>
      </c>
      <c r="B240" s="350">
        <v>27</v>
      </c>
    </row>
    <row r="241" spans="1:2" x14ac:dyDescent="0.25">
      <c r="A241">
        <v>2025</v>
      </c>
      <c r="B241" s="350">
        <v>28</v>
      </c>
    </row>
    <row r="242" spans="1:2" x14ac:dyDescent="0.25">
      <c r="A242">
        <v>2025</v>
      </c>
      <c r="B242" s="350">
        <v>29</v>
      </c>
    </row>
    <row r="243" spans="1:2" x14ac:dyDescent="0.25">
      <c r="A243">
        <v>2025</v>
      </c>
      <c r="B243" s="350">
        <v>30</v>
      </c>
    </row>
    <row r="244" spans="1:2" x14ac:dyDescent="0.25">
      <c r="A244">
        <v>2025</v>
      </c>
      <c r="B244" s="350">
        <v>31</v>
      </c>
    </row>
    <row r="245" spans="1:2" x14ac:dyDescent="0.25">
      <c r="A245">
        <v>2025</v>
      </c>
      <c r="B245" s="350">
        <v>32</v>
      </c>
    </row>
    <row r="246" spans="1:2" x14ac:dyDescent="0.25">
      <c r="A246">
        <v>2025</v>
      </c>
      <c r="B246" s="350">
        <v>33</v>
      </c>
    </row>
    <row r="247" spans="1:2" x14ac:dyDescent="0.25">
      <c r="A247">
        <v>2025</v>
      </c>
      <c r="B247" s="350">
        <v>34</v>
      </c>
    </row>
    <row r="248" spans="1:2" x14ac:dyDescent="0.25">
      <c r="A248">
        <v>2025</v>
      </c>
      <c r="B248" s="350">
        <v>35</v>
      </c>
    </row>
    <row r="249" spans="1:2" x14ac:dyDescent="0.25">
      <c r="A249">
        <v>2025</v>
      </c>
      <c r="B249" s="350">
        <v>36</v>
      </c>
    </row>
    <row r="250" spans="1:2" x14ac:dyDescent="0.25">
      <c r="A250">
        <v>2025</v>
      </c>
      <c r="B250" s="350">
        <v>37</v>
      </c>
    </row>
    <row r="251" spans="1:2" x14ac:dyDescent="0.25">
      <c r="A251">
        <v>2025</v>
      </c>
      <c r="B251" s="350">
        <v>38</v>
      </c>
    </row>
    <row r="252" spans="1:2" x14ac:dyDescent="0.25">
      <c r="A252">
        <v>2025</v>
      </c>
      <c r="B252" s="350">
        <v>39</v>
      </c>
    </row>
    <row r="253" spans="1:2" x14ac:dyDescent="0.25">
      <c r="A253">
        <v>2025</v>
      </c>
      <c r="B253" s="350">
        <v>40</v>
      </c>
    </row>
    <row r="254" spans="1:2" x14ac:dyDescent="0.25">
      <c r="A254">
        <v>2025</v>
      </c>
      <c r="B254" s="350">
        <v>41</v>
      </c>
    </row>
    <row r="255" spans="1:2" x14ac:dyDescent="0.25">
      <c r="A255">
        <v>2025</v>
      </c>
      <c r="B255" s="350">
        <v>42</v>
      </c>
    </row>
    <row r="256" spans="1:2" x14ac:dyDescent="0.25">
      <c r="A256">
        <v>2025</v>
      </c>
      <c r="B256" s="350">
        <v>43</v>
      </c>
    </row>
    <row r="257" spans="1:2" x14ac:dyDescent="0.25">
      <c r="A257">
        <v>2025</v>
      </c>
      <c r="B257" s="350">
        <v>44</v>
      </c>
    </row>
    <row r="258" spans="1:2" x14ac:dyDescent="0.25">
      <c r="A258">
        <v>2025</v>
      </c>
      <c r="B258" s="350">
        <v>45</v>
      </c>
    </row>
    <row r="259" spans="1:2" x14ac:dyDescent="0.25">
      <c r="A259">
        <v>2025</v>
      </c>
      <c r="B259" s="350">
        <v>46</v>
      </c>
    </row>
    <row r="260" spans="1:2" x14ac:dyDescent="0.25">
      <c r="A260">
        <v>2025</v>
      </c>
      <c r="B260" s="350">
        <v>47</v>
      </c>
    </row>
    <row r="261" spans="1:2" x14ac:dyDescent="0.25">
      <c r="A261">
        <v>2025</v>
      </c>
      <c r="B261" s="350">
        <v>48</v>
      </c>
    </row>
    <row r="262" spans="1:2" x14ac:dyDescent="0.25">
      <c r="A262">
        <v>2025</v>
      </c>
      <c r="B262" s="350">
        <v>49</v>
      </c>
    </row>
    <row r="263" spans="1:2" x14ac:dyDescent="0.25">
      <c r="A263">
        <v>2025</v>
      </c>
      <c r="B263" s="350">
        <v>50</v>
      </c>
    </row>
    <row r="264" spans="1:2" x14ac:dyDescent="0.25">
      <c r="A264">
        <v>2025</v>
      </c>
      <c r="B264" s="350">
        <v>51</v>
      </c>
    </row>
    <row r="265" spans="1:2" x14ac:dyDescent="0.25">
      <c r="A265">
        <v>2025</v>
      </c>
      <c r="B265" s="350">
        <v>52</v>
      </c>
    </row>
    <row r="266" spans="1:2" x14ac:dyDescent="0.25">
      <c r="A266">
        <v>2025</v>
      </c>
      <c r="B266" s="350">
        <v>53</v>
      </c>
    </row>
  </sheetData>
  <dataValidations count="1">
    <dataValidation type="list" allowBlank="1" showInputMessage="1" showErrorMessage="1" sqref="Z2:Z6" xr:uid="{C0A085AB-32C4-455B-B2D4-6848278625C1}">
      <formula1>$X$2:$X$3</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22EB1-F04F-437E-BE68-CDC5F771204F}">
  <dimension ref="A1"/>
  <sheetViews>
    <sheetView workbookViewId="0">
      <selection activeCell="H33" sqref="H33"/>
    </sheetView>
  </sheetViews>
  <sheetFormatPr defaultRowHeight="15" x14ac:dyDescent="0.25"/>
  <sheetData>
    <row r="1" spans="1:1" x14ac:dyDescent="0.25">
      <c r="A1" s="280" t="s">
        <v>1543</v>
      </c>
    </row>
  </sheetData>
  <pageMargins left="0.7" right="0.7" top="0.75" bottom="0.75" header="0.3" footer="0.3"/>
  <pageSetup orientation="portrait"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42ACB-BE17-4358-A27D-09D3C9F74664}">
  <dimension ref="A1"/>
  <sheetViews>
    <sheetView workbookViewId="0">
      <selection sqref="A1:XFD1048576"/>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5"/>
  <sheetViews>
    <sheetView workbookViewId="0">
      <selection activeCell="J30" sqref="J30"/>
    </sheetView>
  </sheetViews>
  <sheetFormatPr defaultColWidth="9.140625" defaultRowHeight="15" x14ac:dyDescent="0.25"/>
  <cols>
    <col min="1" max="4" width="9.140625" style="1"/>
    <col min="5" max="5" width="20" style="1" customWidth="1"/>
    <col min="6" max="16384" width="9.140625" style="1"/>
  </cols>
  <sheetData>
    <row r="1" spans="1:12" x14ac:dyDescent="0.25">
      <c r="F1" s="2" t="s">
        <v>1544</v>
      </c>
    </row>
    <row r="2" spans="1:12" x14ac:dyDescent="0.25">
      <c r="A2" s="2" t="s">
        <v>1545</v>
      </c>
      <c r="B2" s="2" t="s">
        <v>1546</v>
      </c>
      <c r="C2" s="2" t="s">
        <v>352</v>
      </c>
      <c r="D2" s="2" t="s">
        <v>118</v>
      </c>
      <c r="E2" s="2" t="s">
        <v>1547</v>
      </c>
      <c r="F2" s="2" t="s">
        <v>62</v>
      </c>
      <c r="G2" s="2" t="s">
        <v>1548</v>
      </c>
      <c r="I2" s="2" t="s">
        <v>1549</v>
      </c>
    </row>
    <row r="3" spans="1:12" x14ac:dyDescent="0.25">
      <c r="A3" s="1" t="s">
        <v>1550</v>
      </c>
      <c r="B3" s="1" t="s">
        <v>1550</v>
      </c>
      <c r="C3" s="1" t="s">
        <v>1550</v>
      </c>
      <c r="E3" s="3" t="s">
        <v>27</v>
      </c>
      <c r="F3" s="5">
        <v>8</v>
      </c>
      <c r="G3" s="5">
        <v>8</v>
      </c>
      <c r="H3" s="5"/>
      <c r="I3" s="5" t="s">
        <v>1551</v>
      </c>
      <c r="L3" s="6"/>
    </row>
    <row r="4" spans="1:12" x14ac:dyDescent="0.25">
      <c r="B4" s="1" t="s">
        <v>1550</v>
      </c>
      <c r="C4" s="1" t="s">
        <v>1550</v>
      </c>
      <c r="E4" s="3" t="s">
        <v>65</v>
      </c>
      <c r="F4" s="7" t="s">
        <v>1552</v>
      </c>
      <c r="G4" s="4" t="s">
        <v>1553</v>
      </c>
      <c r="H4" s="5"/>
      <c r="I4" s="5" t="s">
        <v>1554</v>
      </c>
    </row>
    <row r="5" spans="1:12" x14ac:dyDescent="0.25">
      <c r="A5" s="1" t="s">
        <v>1550</v>
      </c>
      <c r="E5" s="3" t="s">
        <v>59</v>
      </c>
      <c r="F5" s="7" t="s">
        <v>1552</v>
      </c>
      <c r="G5" s="4">
        <v>3</v>
      </c>
      <c r="H5" s="5"/>
      <c r="I5" s="5" t="s">
        <v>1554</v>
      </c>
    </row>
    <row r="6" spans="1:12" x14ac:dyDescent="0.25">
      <c r="A6" s="1" t="s">
        <v>1550</v>
      </c>
      <c r="B6" s="1" t="s">
        <v>1550</v>
      </c>
      <c r="E6" s="1" t="s">
        <v>1555</v>
      </c>
      <c r="F6" s="8" t="s">
        <v>1556</v>
      </c>
      <c r="G6" s="9">
        <v>4</v>
      </c>
      <c r="H6" s="9"/>
      <c r="I6" s="9" t="s">
        <v>1557</v>
      </c>
    </row>
    <row r="7" spans="1:12" x14ac:dyDescent="0.25">
      <c r="A7" s="1" t="s">
        <v>135</v>
      </c>
      <c r="B7" s="1" t="s">
        <v>1550</v>
      </c>
      <c r="E7" s="1" t="s">
        <v>84</v>
      </c>
      <c r="F7" s="8" t="s">
        <v>1558</v>
      </c>
      <c r="G7" s="9">
        <v>2</v>
      </c>
      <c r="H7" s="9"/>
      <c r="I7" s="9" t="s">
        <v>1559</v>
      </c>
    </row>
    <row r="8" spans="1:12" x14ac:dyDescent="0.25">
      <c r="A8" s="1" t="s">
        <v>135</v>
      </c>
      <c r="D8" s="1" t="s">
        <v>1550</v>
      </c>
      <c r="E8" s="1" t="s">
        <v>72</v>
      </c>
    </row>
    <row r="9" spans="1:12" x14ac:dyDescent="0.25">
      <c r="D9" s="1" t="s">
        <v>1550</v>
      </c>
      <c r="E9" s="1" t="s">
        <v>1560</v>
      </c>
    </row>
    <row r="10" spans="1:12" x14ac:dyDescent="0.25">
      <c r="A10" s="1" t="s">
        <v>135</v>
      </c>
      <c r="D10" s="1" t="s">
        <v>1550</v>
      </c>
      <c r="E10" s="1" t="s">
        <v>1561</v>
      </c>
    </row>
    <row r="12" spans="1:12" x14ac:dyDescent="0.25">
      <c r="E12" s="1" t="s">
        <v>1562</v>
      </c>
    </row>
    <row r="13" spans="1:12" x14ac:dyDescent="0.25">
      <c r="E13" s="1" t="s">
        <v>1563</v>
      </c>
    </row>
    <row r="14" spans="1:12" x14ac:dyDescent="0.25">
      <c r="E14" s="1" t="s">
        <v>1564</v>
      </c>
    </row>
    <row r="15" spans="1:12" s="10" customFormat="1" x14ac:dyDescent="0.25"/>
  </sheetData>
  <customSheetViews>
    <customSheetView guid="{2EE6C233-76BA-487D-84CF-B1D2031D7726}">
      <selection activeCell="F32" sqref="F32"/>
      <pageMargins left="0" right="0" top="0" bottom="0" header="0" footer="0"/>
    </customSheetView>
    <customSheetView guid="{18176D88-DE0C-4F4B-AE8A-05A303D55849}">
      <selection activeCell="F23" sqref="F23"/>
      <pageMargins left="0" right="0" top="0" bottom="0" header="0" footer="0"/>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277168484D774B9D4448BF01E5211D" ma:contentTypeVersion="3" ma:contentTypeDescription="Create a new document." ma:contentTypeScope="" ma:versionID="d571714a83eb21c0e260e03828090b41">
  <xsd:schema xmlns:xsd="http://www.w3.org/2001/XMLSchema" xmlns:xs="http://www.w3.org/2001/XMLSchema" xmlns:p="http://schemas.microsoft.com/office/2006/metadata/properties" xmlns:ns2="4f144fc1-59e6-4af3-87ab-fcf77bfa264d" targetNamespace="http://schemas.microsoft.com/office/2006/metadata/properties" ma:root="true" ma:fieldsID="2afb4accef57e4c3d0c15155faf60eaa" ns2:_="">
    <xsd:import namespace="4f144fc1-59e6-4af3-87ab-fcf77bfa264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144fc1-59e6-4af3-87ab-fcf77bfa26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BC5236-E9CE-4FDA-9C7F-A94088729793}">
  <ds:schemaRefs>
    <ds:schemaRef ds:uri="http://schemas.microsoft.com/sharepoint/v3/contenttype/forms"/>
  </ds:schemaRefs>
</ds:datastoreItem>
</file>

<file path=customXml/itemProps2.xml><?xml version="1.0" encoding="utf-8"?>
<ds:datastoreItem xmlns:ds="http://schemas.openxmlformats.org/officeDocument/2006/customXml" ds:itemID="{8D2FA19B-D937-46A1-A241-CA84710A2AE7}"/>
</file>

<file path=customXml/itemProps3.xml><?xml version="1.0" encoding="utf-8"?>
<ds:datastoreItem xmlns:ds="http://schemas.openxmlformats.org/officeDocument/2006/customXml" ds:itemID="{DF87E2B6-E0C4-463B-BCC8-2C3103047DBF}">
  <ds:schemaRefs>
    <ds:schemaRef ds:uri="http://purl.org/dc/dcmitype/"/>
    <ds:schemaRef ds:uri="http://schemas.microsoft.com/office/2006/metadata/properties"/>
    <ds:schemaRef ds:uri="http://www.w3.org/XML/1998/namespace"/>
    <ds:schemaRef ds:uri="http://purl.org/dc/terms/"/>
    <ds:schemaRef ds:uri="73fd69bd-e831-4e52-8043-f80b99dae4e0"/>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8eecc299-8e61-41e6-9a61-9a5b44fbb2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Quote Log</vt:lpstr>
      <vt:lpstr>Checklist</vt:lpstr>
      <vt:lpstr>old-PQSI</vt:lpstr>
      <vt:lpstr>Tax Exempt</vt:lpstr>
      <vt:lpstr>KPIs (Month)</vt:lpstr>
      <vt:lpstr>KPIs (Week)</vt:lpstr>
      <vt:lpstr>Quote Instruction</vt:lpstr>
      <vt:lpstr>Sheet1</vt:lpstr>
      <vt:lpstr>Notes</vt:lpstr>
      <vt:lpstr>Table</vt:lpstr>
      <vt:lpstr>'Quote Log'!Print_Area</vt:lpstr>
      <vt:lpstr>TAX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Streletsky</dc:creator>
  <cp:keywords/>
  <dc:description/>
  <cp:lastModifiedBy>Max Johnson</cp:lastModifiedBy>
  <cp:revision/>
  <dcterms:created xsi:type="dcterms:W3CDTF">2019-01-31T23:02:19Z</dcterms:created>
  <dcterms:modified xsi:type="dcterms:W3CDTF">2025-06-18T17:59:38Z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0x01010057277168484D774B9D4448BF01E5211D</vt:lpwstr>
  </property>
</Properties>
</file>