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xl/comments1.xml" ContentType="application/vnd.openxmlformats-officedocument.spreadsheetml.comments+xml"/>
  <Override PartName="/xl/comments2.xml" ContentType="application/vnd.openxmlformats-officedocument.spreadsheetml.comment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customXml/itemProps1.xml" ContentType="application/vnd.openxmlformats-officedocument.customXmlProperties+xml"/>
  <Override PartName="/customXml/itemProps2.xml" ContentType="application/vnd.openxmlformats-officedocument.customXmlProperties+xml"/>
  <Override PartName="/customXml/itemProps3.xml" ContentType="application/vnd.openxmlformats-officedocument.customXml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8827"/>
  <workbookPr/>
  <mc:AlternateContent xmlns:mc="http://schemas.openxmlformats.org/markup-compatibility/2006">
    <mc:Choice Requires="x15">
      <x15ac:absPath xmlns:x15ac="http://schemas.microsoft.com/office/spreadsheetml/2010/11/ac" url="C:\Users\MaxJohnson\Documents\Khash Files\"/>
    </mc:Choice>
  </mc:AlternateContent>
  <xr:revisionPtr revIDLastSave="0" documentId="8_{24E52539-AE4F-47D7-BEBA-E7ACE375EE6D}" xr6:coauthVersionLast="47" xr6:coauthVersionMax="47" xr10:uidLastSave="{00000000-0000-0000-0000-000000000000}"/>
  <bookViews>
    <workbookView xWindow="2160" yWindow="3345" windowWidth="21600" windowHeight="11295" xr2:uid="{00000000-000D-0000-FFFF-FFFF00000000}"/>
  </bookViews>
  <sheets>
    <sheet name="Final LABOR" sheetId="4" r:id="rId1"/>
    <sheet name="Checklist" sheetId="17" r:id="rId2"/>
    <sheet name="larger kit calc, sec per part" sheetId="14" r:id="rId3"/>
    <sheet name="Data from filter for JUKI only" sheetId="15" r:id="rId4"/>
    <sheet name="Data from filter for all" sheetId="16" r:id="rId5"/>
  </sheets>
  <definedNames>
    <definedName name="_xlnm.Print_Area" localSheetId="0">'Final LABOR'!$A$1:$Z$43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K1" i="17" l="1"/>
  <c r="K70" i="17" s="1"/>
  <c r="J1" i="17"/>
  <c r="J70" i="17" s="1"/>
  <c r="I1" i="17"/>
  <c r="I70" i="17" s="1"/>
  <c r="H1" i="17"/>
  <c r="F25" i="14"/>
  <c r="I25" i="14"/>
  <c r="T25" i="14" s="1"/>
  <c r="F26" i="14"/>
  <c r="I21" i="17"/>
  <c r="I22" i="17"/>
  <c r="I23" i="17"/>
  <c r="I24" i="17"/>
  <c r="I25" i="17"/>
  <c r="I26" i="17"/>
  <c r="F35" i="14"/>
  <c r="I35" i="14"/>
  <c r="Y35" i="14" s="1"/>
  <c r="F36" i="14"/>
  <c r="J21" i="17"/>
  <c r="J22" i="17"/>
  <c r="J23" i="17"/>
  <c r="J24" i="17"/>
  <c r="J25" i="17"/>
  <c r="J26" i="17"/>
  <c r="F45" i="14"/>
  <c r="I45" i="14" s="1"/>
  <c r="F46" i="14"/>
  <c r="K21" i="17"/>
  <c r="K22" i="17"/>
  <c r="K23" i="17"/>
  <c r="K24" i="17"/>
  <c r="K25" i="17"/>
  <c r="K26" i="17"/>
  <c r="F15" i="14"/>
  <c r="F19" i="14" s="1"/>
  <c r="F16" i="14"/>
  <c r="H21" i="17"/>
  <c r="H22" i="17"/>
  <c r="H23" i="17"/>
  <c r="H24" i="17"/>
  <c r="H25" i="17"/>
  <c r="H26" i="17"/>
  <c r="F17" i="14"/>
  <c r="I17" i="14"/>
  <c r="H32" i="17" s="1"/>
  <c r="H33" i="17" s="1"/>
  <c r="F18" i="14"/>
  <c r="I18" i="14" s="1"/>
  <c r="H38" i="17" s="1"/>
  <c r="I9" i="14"/>
  <c r="I7" i="14"/>
  <c r="G86" i="17"/>
  <c r="G85" i="17"/>
  <c r="G84" i="17"/>
  <c r="G83" i="17"/>
  <c r="G82" i="17"/>
  <c r="G81" i="17"/>
  <c r="H46" i="14"/>
  <c r="G46" i="14" s="1"/>
  <c r="H36" i="14"/>
  <c r="G36" i="14" s="1"/>
  <c r="H26" i="14"/>
  <c r="G26" i="14" s="1"/>
  <c r="H16" i="14"/>
  <c r="G16" i="14" s="1"/>
  <c r="K77" i="17"/>
  <c r="J77" i="17"/>
  <c r="I77" i="17"/>
  <c r="H77" i="17"/>
  <c r="C3" i="14"/>
  <c r="B8" i="17"/>
  <c r="C16" i="17"/>
  <c r="C17" i="17"/>
  <c r="C18" i="17"/>
  <c r="C19" i="17"/>
  <c r="C20" i="17"/>
  <c r="C21" i="17"/>
  <c r="C22" i="17"/>
  <c r="C23" i="17"/>
  <c r="C24" i="17"/>
  <c r="C15" i="17"/>
  <c r="E6" i="4"/>
  <c r="E5" i="4"/>
  <c r="E4" i="4"/>
  <c r="E3" i="4"/>
  <c r="D6" i="4"/>
  <c r="D5" i="4"/>
  <c r="D4" i="4"/>
  <c r="D3" i="4"/>
  <c r="C6" i="4"/>
  <c r="C5" i="4"/>
  <c r="C4" i="4"/>
  <c r="C3" i="4"/>
  <c r="B6" i="4"/>
  <c r="B5" i="4"/>
  <c r="B4" i="4"/>
  <c r="B3" i="4"/>
  <c r="C6" i="14"/>
  <c r="K36" i="17"/>
  <c r="K49" i="17"/>
  <c r="K50" i="17"/>
  <c r="K51" i="17"/>
  <c r="K48" i="17"/>
  <c r="K47" i="17"/>
  <c r="K46" i="17"/>
  <c r="K45" i="17"/>
  <c r="K44" i="17"/>
  <c r="K43" i="17"/>
  <c r="K42" i="17"/>
  <c r="K41" i="17"/>
  <c r="K40" i="17"/>
  <c r="K39" i="17"/>
  <c r="K17" i="17"/>
  <c r="K16" i="17"/>
  <c r="K15" i="17"/>
  <c r="K14" i="17"/>
  <c r="K13" i="17"/>
  <c r="K4" i="17"/>
  <c r="K5" i="17"/>
  <c r="K6" i="17"/>
  <c r="K7" i="17"/>
  <c r="K8" i="17"/>
  <c r="K3" i="17"/>
  <c r="J36" i="17"/>
  <c r="J49" i="17"/>
  <c r="J50" i="17"/>
  <c r="J51" i="17"/>
  <c r="J48" i="17"/>
  <c r="J47" i="17"/>
  <c r="J46" i="17"/>
  <c r="J45" i="17"/>
  <c r="J44" i="17"/>
  <c r="J43" i="17"/>
  <c r="J42" i="17"/>
  <c r="J41" i="17"/>
  <c r="J40" i="17"/>
  <c r="J39" i="17"/>
  <c r="J17" i="17"/>
  <c r="J16" i="17"/>
  <c r="J15" i="17"/>
  <c r="J14" i="17"/>
  <c r="J13" i="17"/>
  <c r="J3" i="17"/>
  <c r="I51" i="17"/>
  <c r="I50" i="17"/>
  <c r="I49" i="17"/>
  <c r="I48" i="17"/>
  <c r="I47" i="17"/>
  <c r="I46" i="17"/>
  <c r="I45" i="17"/>
  <c r="I44" i="17"/>
  <c r="I43" i="17"/>
  <c r="I42" i="17"/>
  <c r="I41" i="17"/>
  <c r="I40" i="17"/>
  <c r="I39" i="17"/>
  <c r="I17" i="17"/>
  <c r="I16" i="17"/>
  <c r="I15" i="17"/>
  <c r="I14" i="17"/>
  <c r="I13" i="17"/>
  <c r="I4" i="17"/>
  <c r="I5" i="17"/>
  <c r="I6" i="17"/>
  <c r="I7" i="17"/>
  <c r="I8" i="17"/>
  <c r="I3" i="17"/>
  <c r="H36" i="17"/>
  <c r="H51" i="17"/>
  <c r="H50" i="17"/>
  <c r="H49" i="17"/>
  <c r="H48" i="17"/>
  <c r="H47" i="17"/>
  <c r="H46" i="17"/>
  <c r="H45" i="17"/>
  <c r="H44" i="17"/>
  <c r="H43" i="17"/>
  <c r="H42" i="17"/>
  <c r="H41" i="17"/>
  <c r="H40" i="17"/>
  <c r="H39" i="17"/>
  <c r="H17" i="17"/>
  <c r="H16" i="17"/>
  <c r="H15" i="17"/>
  <c r="H14" i="17"/>
  <c r="H13" i="17"/>
  <c r="H4" i="17"/>
  <c r="H5" i="17"/>
  <c r="H6" i="17"/>
  <c r="H7" i="17"/>
  <c r="H8" i="17"/>
  <c r="H3" i="17"/>
  <c r="F21" i="4"/>
  <c r="E21" i="4"/>
  <c r="D21" i="4"/>
  <c r="C21" i="4"/>
  <c r="B21" i="4"/>
  <c r="G24" i="4"/>
  <c r="F24" i="4"/>
  <c r="E24" i="4"/>
  <c r="D24" i="4"/>
  <c r="C24" i="4"/>
  <c r="B24" i="4"/>
  <c r="F23" i="4"/>
  <c r="E23" i="4"/>
  <c r="D23" i="4"/>
  <c r="C23" i="4"/>
  <c r="B23" i="4"/>
  <c r="F22" i="4"/>
  <c r="E22" i="4"/>
  <c r="D22" i="4"/>
  <c r="C22" i="4"/>
  <c r="B22" i="4"/>
  <c r="J4" i="17"/>
  <c r="J5" i="17"/>
  <c r="J6" i="17"/>
  <c r="J7" i="17"/>
  <c r="J8" i="17"/>
  <c r="I36" i="17"/>
  <c r="F3" i="4"/>
  <c r="F4" i="4"/>
  <c r="F5" i="4"/>
  <c r="F6" i="4"/>
  <c r="G6" i="4"/>
  <c r="B5" i="17"/>
  <c r="B4" i="17"/>
  <c r="B3" i="17"/>
  <c r="B2" i="17"/>
  <c r="E52" i="17"/>
  <c r="E63" i="17" s="1"/>
  <c r="E33" i="17"/>
  <c r="E62" i="17" s="1"/>
  <c r="E18" i="17"/>
  <c r="E60" i="17"/>
  <c r="E9" i="17"/>
  <c r="E59" i="17" s="1"/>
  <c r="E29" i="17"/>
  <c r="E15" i="4"/>
  <c r="E14" i="4"/>
  <c r="E13" i="4"/>
  <c r="E12" i="4"/>
  <c r="AG12" i="4"/>
  <c r="AG14" i="4"/>
  <c r="AG13" i="4"/>
  <c r="AG15" i="4"/>
  <c r="B82" i="4"/>
  <c r="B69" i="4"/>
  <c r="B56" i="4"/>
  <c r="B44" i="4"/>
  <c r="D15" i="4"/>
  <c r="D14" i="4"/>
  <c r="D13" i="4"/>
  <c r="C15" i="4"/>
  <c r="C14" i="4"/>
  <c r="C13" i="4"/>
  <c r="B15" i="4"/>
  <c r="B14" i="4"/>
  <c r="B13" i="4"/>
  <c r="D12" i="4"/>
  <c r="C12" i="4"/>
  <c r="B12" i="4"/>
  <c r="C7" i="14"/>
  <c r="C9" i="14" s="1"/>
  <c r="AF13" i="4"/>
  <c r="AF14" i="4"/>
  <c r="AF15" i="4"/>
  <c r="AF12" i="4"/>
  <c r="U89" i="4"/>
  <c r="T89" i="4"/>
  <c r="S89" i="4"/>
  <c r="L89" i="4"/>
  <c r="I89" i="4"/>
  <c r="U77" i="4"/>
  <c r="T77" i="4"/>
  <c r="S77" i="4"/>
  <c r="L77" i="4"/>
  <c r="I77" i="4"/>
  <c r="U64" i="4"/>
  <c r="T64" i="4"/>
  <c r="S64" i="4"/>
  <c r="L64" i="4"/>
  <c r="I64" i="4"/>
  <c r="Y88" i="4"/>
  <c r="W88" i="4"/>
  <c r="Y87" i="4"/>
  <c r="W87" i="4"/>
  <c r="Y86" i="4"/>
  <c r="W86" i="4"/>
  <c r="Y85" i="4"/>
  <c r="W85" i="4"/>
  <c r="Y76" i="4"/>
  <c r="W76" i="4"/>
  <c r="Y75" i="4"/>
  <c r="W75" i="4"/>
  <c r="Y74" i="4"/>
  <c r="W74" i="4"/>
  <c r="Y73" i="4"/>
  <c r="W73" i="4"/>
  <c r="Y72" i="4"/>
  <c r="W72" i="4"/>
  <c r="Y63" i="4"/>
  <c r="W63" i="4"/>
  <c r="Y62" i="4"/>
  <c r="W62" i="4"/>
  <c r="Y61" i="4"/>
  <c r="W61" i="4"/>
  <c r="Y60" i="4"/>
  <c r="W60" i="4"/>
  <c r="Y59" i="4"/>
  <c r="W59" i="4"/>
  <c r="F15" i="4"/>
  <c r="F14" i="4"/>
  <c r="G15" i="4"/>
  <c r="Q15" i="4" s="1"/>
  <c r="G48" i="14"/>
  <c r="F48" i="14"/>
  <c r="I48" i="14"/>
  <c r="K38" i="17" s="1"/>
  <c r="G47" i="14"/>
  <c r="F47" i="14"/>
  <c r="F49" i="14" s="1"/>
  <c r="I47" i="14"/>
  <c r="L48" i="14" s="1"/>
  <c r="K32" i="17"/>
  <c r="K33" i="17" s="1"/>
  <c r="S45" i="14"/>
  <c r="G45" i="14"/>
  <c r="G38" i="14"/>
  <c r="F38" i="14"/>
  <c r="I38" i="14"/>
  <c r="J38" i="17" s="1"/>
  <c r="G37" i="14"/>
  <c r="F37" i="14"/>
  <c r="I37" i="14"/>
  <c r="J32" i="17" s="1"/>
  <c r="J33" i="17" s="1"/>
  <c r="S35" i="14"/>
  <c r="G35" i="14"/>
  <c r="AE14" i="4"/>
  <c r="AE15" i="4"/>
  <c r="Y51" i="4"/>
  <c r="W51" i="4"/>
  <c r="Y50" i="4"/>
  <c r="W50" i="4"/>
  <c r="Y49" i="4"/>
  <c r="W49" i="4"/>
  <c r="Y48" i="4"/>
  <c r="W48" i="4"/>
  <c r="Y47" i="4"/>
  <c r="W47" i="4"/>
  <c r="F13" i="4"/>
  <c r="F30" i="4"/>
  <c r="AE13" i="4"/>
  <c r="G28" i="14"/>
  <c r="F28" i="14"/>
  <c r="I28" i="14"/>
  <c r="I38" i="17"/>
  <c r="G27" i="14"/>
  <c r="F27" i="14"/>
  <c r="I27" i="14" s="1"/>
  <c r="I32" i="17" s="1"/>
  <c r="I33" i="17" s="1"/>
  <c r="S25" i="14"/>
  <c r="G25" i="14"/>
  <c r="G22" i="4"/>
  <c r="G4" i="4"/>
  <c r="G14" i="4"/>
  <c r="Q14" i="4"/>
  <c r="G5" i="4"/>
  <c r="G23" i="4"/>
  <c r="G13" i="4"/>
  <c r="Q13" i="4" s="1"/>
  <c r="F37" i="4"/>
  <c r="F12" i="4"/>
  <c r="AE12" i="4"/>
  <c r="G18" i="14"/>
  <c r="G17" i="14"/>
  <c r="S15" i="14"/>
  <c r="G15" i="14"/>
  <c r="G12" i="4"/>
  <c r="Q12" i="4" s="1"/>
  <c r="G21" i="4"/>
  <c r="G3" i="4"/>
  <c r="F38" i="4"/>
  <c r="F31" i="4"/>
  <c r="U52" i="4"/>
  <c r="T52" i="4"/>
  <c r="S52" i="4"/>
  <c r="L52" i="4"/>
  <c r="I52" i="4"/>
  <c r="M30" i="4"/>
  <c r="M37" i="4"/>
  <c r="M38" i="4"/>
  <c r="M31" i="4"/>
  <c r="I26" i="14" l="1"/>
  <c r="L25" i="14"/>
  <c r="U25" i="14" s="1"/>
  <c r="Y52" i="4"/>
  <c r="Y64" i="4"/>
  <c r="Y89" i="4"/>
  <c r="Y77" i="4"/>
  <c r="I37" i="17"/>
  <c r="H9" i="17"/>
  <c r="H59" i="17" s="1"/>
  <c r="I27" i="17"/>
  <c r="J18" i="17"/>
  <c r="J60" i="17" s="1"/>
  <c r="E56" i="17"/>
  <c r="E57" i="17" s="1"/>
  <c r="K18" i="17"/>
  <c r="K60" i="17" s="1"/>
  <c r="J27" i="17"/>
  <c r="K62" i="17"/>
  <c r="H18" i="17"/>
  <c r="H60" i="17" s="1"/>
  <c r="K9" i="17"/>
  <c r="K59" i="17" s="1"/>
  <c r="I9" i="17"/>
  <c r="I59" i="17" s="1"/>
  <c r="J9" i="17"/>
  <c r="J59" i="17" s="1"/>
  <c r="H27" i="17"/>
  <c r="K27" i="17"/>
  <c r="I18" i="17"/>
  <c r="I60" i="17" s="1"/>
  <c r="E61" i="17"/>
  <c r="E68" i="17" s="1"/>
  <c r="E69" i="17" s="1"/>
  <c r="I46" i="14"/>
  <c r="I36" i="14"/>
  <c r="L35" i="14" s="1"/>
  <c r="T35" i="14"/>
  <c r="I16" i="14"/>
  <c r="AP15" i="4"/>
  <c r="AP14" i="4"/>
  <c r="W89" i="4"/>
  <c r="H3" i="4"/>
  <c r="W77" i="4"/>
  <c r="H13" i="4"/>
  <c r="S66" i="4" s="1"/>
  <c r="I66" i="4" s="1"/>
  <c r="W64" i="4"/>
  <c r="W52" i="4"/>
  <c r="H15" i="4"/>
  <c r="S91" i="4" s="1"/>
  <c r="I91" i="4" s="1"/>
  <c r="AP13" i="4"/>
  <c r="AP12" i="4"/>
  <c r="F39" i="4"/>
  <c r="J62" i="17"/>
  <c r="H62" i="17"/>
  <c r="H37" i="17"/>
  <c r="H70" i="17"/>
  <c r="I62" i="17"/>
  <c r="J37" i="17"/>
  <c r="F39" i="14"/>
  <c r="H24" i="4"/>
  <c r="Y25" i="14"/>
  <c r="I39" i="14"/>
  <c r="G39" i="14" s="1"/>
  <c r="H39" i="14" s="1"/>
  <c r="F29" i="14"/>
  <c r="H4" i="4"/>
  <c r="I15" i="14"/>
  <c r="H6" i="4"/>
  <c r="H23" i="4"/>
  <c r="H5" i="4"/>
  <c r="I28" i="17"/>
  <c r="I29" i="14"/>
  <c r="AO13" i="4" s="1"/>
  <c r="R25" i="14"/>
  <c r="Q25" i="14" s="1"/>
  <c r="AE25" i="14"/>
  <c r="H22" i="4"/>
  <c r="Y45" i="14"/>
  <c r="Z45" i="14" s="1"/>
  <c r="I49" i="14"/>
  <c r="L45" i="14"/>
  <c r="AB45" i="14"/>
  <c r="T45" i="14"/>
  <c r="V48" i="14"/>
  <c r="R48" i="14"/>
  <c r="Q48" i="14" s="1"/>
  <c r="K37" i="17"/>
  <c r="K52" i="17" s="1"/>
  <c r="K63" i="17" s="1"/>
  <c r="Z35" i="14"/>
  <c r="AB35" i="14"/>
  <c r="L38" i="14"/>
  <c r="I52" i="17"/>
  <c r="L28" i="14"/>
  <c r="L29" i="14" s="1"/>
  <c r="AD25" i="14"/>
  <c r="F32" i="4"/>
  <c r="Y15" i="14"/>
  <c r="Z15" i="14" s="1"/>
  <c r="T15" i="14"/>
  <c r="L18" i="14"/>
  <c r="H21" i="4"/>
  <c r="H12" i="4"/>
  <c r="S54" i="4" s="1"/>
  <c r="H14" i="4"/>
  <c r="S79" i="4" s="1"/>
  <c r="I29" i="17" l="1"/>
  <c r="I61" i="17" s="1"/>
  <c r="AB15" i="14"/>
  <c r="H52" i="17"/>
  <c r="H63" i="17" s="1"/>
  <c r="J52" i="17"/>
  <c r="J63" i="17" s="1"/>
  <c r="M29" i="14"/>
  <c r="M25" i="14"/>
  <c r="O25" i="14" s="1"/>
  <c r="G29" i="14"/>
  <c r="H29" i="14" s="1"/>
  <c r="AQ13" i="4"/>
  <c r="J13" i="4" s="1"/>
  <c r="N13" i="4" s="1"/>
  <c r="AO14" i="4"/>
  <c r="AQ14" i="4" s="1"/>
  <c r="J14" i="4" s="1"/>
  <c r="N14" i="4" s="1"/>
  <c r="AB25" i="14"/>
  <c r="Z25" i="14"/>
  <c r="I19" i="14"/>
  <c r="L15" i="14"/>
  <c r="I63" i="17"/>
  <c r="AE45" i="14"/>
  <c r="AD45" i="14"/>
  <c r="U45" i="14"/>
  <c r="W48" i="14" s="1"/>
  <c r="L49" i="14"/>
  <c r="M45" i="14" s="1"/>
  <c r="O45" i="14" s="1"/>
  <c r="R45" i="14"/>
  <c r="Q45" i="14" s="1"/>
  <c r="K28" i="17"/>
  <c r="K29" i="17" s="1"/>
  <c r="AO15" i="4"/>
  <c r="AQ15" i="4" s="1"/>
  <c r="J15" i="4" s="1"/>
  <c r="N15" i="4" s="1"/>
  <c r="G49" i="14"/>
  <c r="H49" i="14" s="1"/>
  <c r="U35" i="14"/>
  <c r="AE35" i="14"/>
  <c r="R35" i="14"/>
  <c r="Q35" i="14" s="1"/>
  <c r="AD35" i="14"/>
  <c r="L39" i="14"/>
  <c r="M38" i="14" s="1"/>
  <c r="O38" i="14" s="1"/>
  <c r="J28" i="17"/>
  <c r="J29" i="17" s="1"/>
  <c r="V38" i="14"/>
  <c r="R38" i="14"/>
  <c r="Q38" i="14" s="1"/>
  <c r="R28" i="14"/>
  <c r="Q28" i="14" s="1"/>
  <c r="M28" i="14"/>
  <c r="O28" i="14" s="1"/>
  <c r="V28" i="14"/>
  <c r="W28" i="14" s="1"/>
  <c r="V18" i="14"/>
  <c r="R18" i="14"/>
  <c r="Q18" i="14" s="1"/>
  <c r="I54" i="4"/>
  <c r="I79" i="4"/>
  <c r="I56" i="17" l="1"/>
  <c r="I57" i="17" s="1"/>
  <c r="I68" i="17"/>
  <c r="I69" i="17" s="1"/>
  <c r="W38" i="14"/>
  <c r="I13" i="4"/>
  <c r="O29" i="14"/>
  <c r="I75" i="17"/>
  <c r="K4" i="4" s="1"/>
  <c r="J4" i="4"/>
  <c r="N4" i="4" s="1"/>
  <c r="L4" i="4"/>
  <c r="A4" i="4" s="1"/>
  <c r="AD15" i="14"/>
  <c r="AE15" i="14"/>
  <c r="U15" i="14"/>
  <c r="W18" i="14" s="1"/>
  <c r="H28" i="17"/>
  <c r="H29" i="17" s="1"/>
  <c r="L19" i="14"/>
  <c r="R15" i="14"/>
  <c r="Q15" i="14" s="1"/>
  <c r="AO12" i="4"/>
  <c r="AQ12" i="4" s="1"/>
  <c r="J12" i="4" s="1"/>
  <c r="G19" i="14"/>
  <c r="H19" i="14" s="1"/>
  <c r="I14" i="4"/>
  <c r="I15" i="4"/>
  <c r="K61" i="17"/>
  <c r="K68" i="17" s="1"/>
  <c r="K56" i="17"/>
  <c r="M49" i="14"/>
  <c r="M48" i="14"/>
  <c r="O48" i="14" s="1"/>
  <c r="O49" i="14" s="1"/>
  <c r="J61" i="17"/>
  <c r="J68" i="17" s="1"/>
  <c r="J56" i="17"/>
  <c r="M39" i="14"/>
  <c r="M35" i="14"/>
  <c r="O35" i="14" s="1"/>
  <c r="O39" i="14" s="1"/>
  <c r="AN14" i="4" s="1"/>
  <c r="AR14" i="4" s="1"/>
  <c r="K14" i="4" s="1"/>
  <c r="L79" i="4" s="1"/>
  <c r="U79" i="4" s="1"/>
  <c r="W79" i="4" s="1"/>
  <c r="J22" i="4" l="1"/>
  <c r="I4" i="4"/>
  <c r="AN15" i="4"/>
  <c r="AR15" i="4" s="1"/>
  <c r="K15" i="4" s="1"/>
  <c r="L91" i="4" s="1"/>
  <c r="U91" i="4" s="1"/>
  <c r="W91" i="4" s="1"/>
  <c r="R49" i="14"/>
  <c r="Q49" i="14" s="1"/>
  <c r="AN13" i="4"/>
  <c r="AR13" i="4" s="1"/>
  <c r="K13" i="4" s="1"/>
  <c r="R29" i="14"/>
  <c r="Q29" i="14" s="1"/>
  <c r="M4" i="4"/>
  <c r="H61" i="17"/>
  <c r="H68" i="17" s="1"/>
  <c r="H56" i="17"/>
  <c r="N12" i="4"/>
  <c r="I12" i="4"/>
  <c r="M18" i="14"/>
  <c r="O18" i="14" s="1"/>
  <c r="M19" i="14"/>
  <c r="M15" i="14"/>
  <c r="O15" i="14" s="1"/>
  <c r="O19" i="14" s="1"/>
  <c r="K75" i="17"/>
  <c r="K6" i="4" s="1"/>
  <c r="K24" i="4" s="1"/>
  <c r="K57" i="17"/>
  <c r="J6" i="4"/>
  <c r="K69" i="17"/>
  <c r="L6" i="4"/>
  <c r="L14" i="4"/>
  <c r="M14" i="4" s="1"/>
  <c r="R39" i="14"/>
  <c r="Q39" i="14" s="1"/>
  <c r="J75" i="17"/>
  <c r="K5" i="4" s="1"/>
  <c r="K23" i="4" s="1"/>
  <c r="J5" i="4"/>
  <c r="J57" i="17"/>
  <c r="L5" i="4"/>
  <c r="J69" i="17"/>
  <c r="I22" i="4"/>
  <c r="N22" i="4"/>
  <c r="L15" i="4" l="1"/>
  <c r="A15" i="4" s="1"/>
  <c r="L66" i="4"/>
  <c r="U66" i="4" s="1"/>
  <c r="W66" i="4" s="1"/>
  <c r="K22" i="4"/>
  <c r="L13" i="4"/>
  <c r="M15" i="4"/>
  <c r="S15" i="4" s="1"/>
  <c r="AN12" i="4"/>
  <c r="AR12" i="4" s="1"/>
  <c r="K12" i="4" s="1"/>
  <c r="R19" i="14"/>
  <c r="Q19" i="14" s="1"/>
  <c r="A14" i="4"/>
  <c r="J3" i="4"/>
  <c r="H57" i="17"/>
  <c r="H75" i="17"/>
  <c r="K3" i="4" s="1"/>
  <c r="H69" i="17"/>
  <c r="L3" i="4"/>
  <c r="N6" i="4"/>
  <c r="I6" i="4"/>
  <c r="J24" i="4"/>
  <c r="A6" i="4"/>
  <c r="M6" i="4"/>
  <c r="L24" i="4"/>
  <c r="A24" i="4" s="1"/>
  <c r="A5" i="4"/>
  <c r="M5" i="4"/>
  <c r="M23" i="4" s="1"/>
  <c r="L23" i="4"/>
  <c r="A23" i="4" s="1"/>
  <c r="I5" i="4"/>
  <c r="J23" i="4"/>
  <c r="N5" i="4"/>
  <c r="S14" i="4"/>
  <c r="R14" i="4"/>
  <c r="R15" i="4"/>
  <c r="M24" i="4" l="1"/>
  <c r="L22" i="4"/>
  <c r="A22" i="4" s="1"/>
  <c r="A13" i="4"/>
  <c r="M13" i="4"/>
  <c r="K21" i="4"/>
  <c r="A3" i="4"/>
  <c r="M3" i="4"/>
  <c r="I3" i="4"/>
  <c r="J21" i="4"/>
  <c r="N3" i="4"/>
  <c r="L54" i="4"/>
  <c r="L12" i="4"/>
  <c r="N24" i="4"/>
  <c r="I24" i="4"/>
  <c r="N23" i="4"/>
  <c r="I23" i="4"/>
  <c r="M22" i="4" l="1"/>
  <c r="S13" i="4"/>
  <c r="R13" i="4"/>
  <c r="M12" i="4"/>
  <c r="M21" i="4" s="1"/>
  <c r="A12" i="4"/>
  <c r="Y66" i="4"/>
  <c r="U54" i="4"/>
  <c r="W54" i="4" s="1"/>
  <c r="Y79" i="4"/>
  <c r="Y91" i="4"/>
  <c r="Y54" i="4"/>
  <c r="N21" i="4"/>
  <c r="I21" i="4"/>
  <c r="L21" i="4"/>
  <c r="A21" i="4" s="1"/>
  <c r="R12" i="4" l="1"/>
  <c r="M32" i="4"/>
  <c r="S12" i="4"/>
  <c r="M39" i="4"/>
</calcChain>
</file>

<file path=xl/comments1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 Patel</author>
  </authors>
  <commentList>
    <comment ref="F3" authorId="0" shapeId="0" xr:uid="{0387B2C5-4F7E-4041-89C2-6B106B8E19D1}">
      <text>
        <r>
          <rPr>
            <b/>
            <sz val="9"/>
            <color indexed="81"/>
            <rFont val="Tahoma"/>
            <family val="2"/>
          </rPr>
          <t>Abhishek Patel:</t>
        </r>
        <r>
          <rPr>
            <sz val="9"/>
            <color indexed="81"/>
            <rFont val="Tahoma"/>
            <family val="2"/>
          </rPr>
          <t xml:space="preserve">
If customer supplied then sends emails to people involved.</t>
        </r>
      </text>
    </comment>
    <comment ref="F5" authorId="0" shapeId="0" xr:uid="{6EE5437E-A838-48C2-BAA8-833BAF22B77E}">
      <text>
        <r>
          <rPr>
            <b/>
            <sz val="9"/>
            <color indexed="81"/>
            <rFont val="Tahoma"/>
            <family val="2"/>
          </rPr>
          <t>Abhishek Patel
Changes for medium or higher quantity</t>
        </r>
      </text>
    </comment>
    <comment ref="F6" authorId="0" shapeId="0" xr:uid="{01850EEB-2044-4358-9571-A69FD93E0242}">
      <text>
        <r>
          <rPr>
            <b/>
            <sz val="9"/>
            <color indexed="81"/>
            <rFont val="Tahoma"/>
            <family val="2"/>
          </rPr>
          <t>Abhishek Patel:</t>
        </r>
        <r>
          <rPr>
            <sz val="9"/>
            <color indexed="81"/>
            <rFont val="Tahoma"/>
            <family val="2"/>
          </rPr>
          <t xml:space="preserve">
Changes for medium or higher quantity</t>
        </r>
      </text>
    </comment>
    <comment ref="F39" authorId="0" shapeId="0" xr:uid="{B096372A-ECED-4AED-838D-B35C31BFAF9C}">
      <text>
        <r>
          <rPr>
            <b/>
            <sz val="9"/>
            <color indexed="81"/>
            <rFont val="Tahoma"/>
            <family val="2"/>
          </rPr>
          <t>Abhishek Patel:</t>
        </r>
        <r>
          <rPr>
            <sz val="9"/>
            <color indexed="81"/>
            <rFont val="Tahoma"/>
            <family val="2"/>
          </rPr>
          <t xml:space="preserve">
Wash skipped for no wash components.</t>
        </r>
      </text>
    </comment>
    <comment ref="F43" authorId="0" shapeId="0" xr:uid="{198E7F7D-076F-4F68-9D1B-01C186117A5C}">
      <text>
        <r>
          <rPr>
            <b/>
            <sz val="9"/>
            <color indexed="81"/>
            <rFont val="Tahoma"/>
            <family val="2"/>
          </rPr>
          <t>Abhishek Patel:</t>
        </r>
        <r>
          <rPr>
            <sz val="9"/>
            <color indexed="81"/>
            <rFont val="Tahoma"/>
            <family val="2"/>
          </rPr>
          <t xml:space="preserve">
Add cable machines setup time and first article approval time.</t>
        </r>
      </text>
    </comment>
  </commentList>
</comments>
</file>

<file path=xl/comments2.xml><?xml version="1.0" encoding="utf-8"?>
<comments xmlns="http://schemas.openxmlformats.org/spreadsheetml/2006/main" xmlns:mc="http://schemas.openxmlformats.org/markup-compatibility/2006" xmlns:xr="http://schemas.microsoft.com/office/spreadsheetml/2014/revision" mc:Ignorable="xr">
  <authors>
    <author>Abhishek Patel</author>
  </authors>
  <commentList>
    <comment ref="B5" authorId="0" shapeId="0" xr:uid="{7DFE5632-7411-47C2-B2D6-4614E182DD7E}">
      <text>
        <r>
          <rPr>
            <b/>
            <sz val="9"/>
            <color indexed="81"/>
            <rFont val="Tahoma"/>
            <family val="2"/>
          </rPr>
          <t>Abhishek Patel:</t>
        </r>
        <r>
          <rPr>
            <sz val="9"/>
            <color indexed="81"/>
            <rFont val="Tahoma"/>
            <family val="2"/>
          </rPr>
          <t xml:space="preserve">
When board has those extra small taping requirements the time is doubled to 72 sec for those.</t>
        </r>
      </text>
    </comment>
  </commentList>
</comments>
</file>

<file path=xl/sharedStrings.xml><?xml version="1.0" encoding="utf-8"?>
<sst xmlns="http://schemas.openxmlformats.org/spreadsheetml/2006/main" count="701" uniqueCount="268">
  <si>
    <t>Assy Hrs</t>
  </si>
  <si>
    <t>Total Parts</t>
  </si>
  <si>
    <t>Bd Qty</t>
  </si>
  <si>
    <t>Parts/Bd</t>
  </si>
  <si>
    <t>sec/Part</t>
  </si>
  <si>
    <t>$ each</t>
  </si>
  <si>
    <t>$ Total</t>
  </si>
  <si>
    <t>Hrs each</t>
  </si>
  <si>
    <t>$/Hr Rate</t>
  </si>
  <si>
    <t>Yield</t>
  </si>
  <si>
    <t>Back calc to correlate to Vic's Approach</t>
  </si>
  <si>
    <t>Job #</t>
  </si>
  <si>
    <t>Customer</t>
  </si>
  <si>
    <t>Assy. $ Quote</t>
  </si>
  <si>
    <t>Quantity</t>
  </si>
  <si>
    <t>SMT Parts</t>
  </si>
  <si>
    <t>Total No. of Parts</t>
  </si>
  <si>
    <t>SMT Hours</t>
  </si>
  <si>
    <t>Secondary Hours</t>
  </si>
  <si>
    <t>All total Hours</t>
  </si>
  <si>
    <t>SMT pars/Hour</t>
  </si>
  <si>
    <t>Combined $ yield</t>
  </si>
  <si>
    <t>Hand Assembly Only</t>
  </si>
  <si>
    <t>Comment</t>
  </si>
  <si>
    <t>Date</t>
  </si>
  <si>
    <t>Notes</t>
  </si>
  <si>
    <t>sec/part</t>
  </si>
  <si>
    <t>Hr/Bd</t>
  </si>
  <si>
    <t xml:space="preserve">     ASSY LABOR ONLY</t>
  </si>
  <si>
    <t>Average</t>
  </si>
  <si>
    <t>$/plmt</t>
  </si>
  <si>
    <t>$/Kit</t>
  </si>
  <si>
    <t>Vic's Rate</t>
  </si>
  <si>
    <t>Total Parts/Kit</t>
  </si>
  <si>
    <t>Hand Assy</t>
  </si>
  <si>
    <t>SMT</t>
  </si>
  <si>
    <t>TH</t>
  </si>
  <si>
    <t>Parts</t>
  </si>
  <si>
    <t>Lines</t>
  </si>
  <si>
    <t>cph</t>
  </si>
  <si>
    <t>TOTAL</t>
  </si>
  <si>
    <t>Qty:</t>
  </si>
  <si>
    <t>Assy Hrs Rqd</t>
  </si>
  <si>
    <t>Blended</t>
  </si>
  <si>
    <t>by Type</t>
  </si>
  <si>
    <t>Target Yield</t>
  </si>
  <si>
    <t>SMT only</t>
  </si>
  <si>
    <t>smt line hrs</t>
  </si>
  <si>
    <t>smt line days</t>
  </si>
  <si>
    <t>Hours</t>
  </si>
  <si>
    <t>smt ppl/line</t>
  </si>
  <si>
    <t>calc</t>
  </si>
  <si>
    <t>Full Kit</t>
  </si>
  <si>
    <t>Feeder</t>
  </si>
  <si>
    <t>Line</t>
  </si>
  <si>
    <t>SMT Auto</t>
  </si>
  <si>
    <t>Assy Hours</t>
  </si>
  <si>
    <t>double check</t>
  </si>
  <si>
    <t>Load Hrs</t>
  </si>
  <si>
    <t>Full Total</t>
  </si>
  <si>
    <t>aligned</t>
  </si>
  <si>
    <t>SMT  $ Yield</t>
  </si>
  <si>
    <t>Premium</t>
  </si>
  <si>
    <t>1:  Use;</t>
  </si>
  <si>
    <t>0:  Not.</t>
  </si>
  <si>
    <t>Input</t>
  </si>
  <si>
    <t>Grand</t>
  </si>
  <si>
    <t>Secondary</t>
  </si>
  <si>
    <t>PCB</t>
  </si>
  <si>
    <t>Total</t>
  </si>
  <si>
    <t>Minutes</t>
  </si>
  <si>
    <r>
      <rPr>
        <b/>
        <i/>
        <sz val="11"/>
        <color rgb="FFFF0000"/>
        <rFont val="Calibri"/>
        <family val="2"/>
        <scheme val="minor"/>
      </rPr>
      <t>INCLUDES</t>
    </r>
    <r>
      <rPr>
        <b/>
        <sz val="11"/>
        <color rgb="FFF2750E"/>
        <rFont val="Calibri"/>
        <family val="2"/>
        <scheme val="minor"/>
      </rPr>
      <t xml:space="preserve"> secondary cost adders ----&gt;</t>
    </r>
  </si>
  <si>
    <t>Lead time</t>
  </si>
  <si>
    <t>Qty=</t>
  </si>
  <si>
    <t>See Conformal Coating Breakdown</t>
  </si>
  <si>
    <t>DNI locations</t>
  </si>
  <si>
    <t>TH by HAND</t>
  </si>
  <si>
    <t>Fine Pitch, QFN, or BGA by HAND</t>
  </si>
  <si>
    <t>Cable Assembly</t>
  </si>
  <si>
    <t>AOI</t>
  </si>
  <si>
    <t>Testing</t>
  </si>
  <si>
    <t>Average of large feeder count jobs</t>
  </si>
  <si>
    <t>Conformal Coating</t>
  </si>
  <si>
    <t>RoHS job</t>
  </si>
  <si>
    <t>ITAR job</t>
  </si>
  <si>
    <t>See PCBA drawing below</t>
  </si>
  <si>
    <t>sec</t>
  </si>
  <si>
    <t>min</t>
  </si>
  <si>
    <t>Total conformal coating time</t>
  </si>
  <si>
    <t>Total masking and unmasking time in sec, including bottom side</t>
  </si>
  <si>
    <t>Total locations to mask=
 locations, see drawing below</t>
  </si>
  <si>
    <t>15 sec per location</t>
  </si>
  <si>
    <t>3wks- 15 day turn</t>
  </si>
  <si>
    <t>2 wks- 10 day turn</t>
  </si>
  <si>
    <t>SMT GLUE</t>
  </si>
  <si>
    <t>TH GLUE</t>
  </si>
  <si>
    <t>8 wks normal turn</t>
  </si>
  <si>
    <t>ACI Job Number</t>
  </si>
  <si>
    <t>Cust_Rev</t>
  </si>
  <si>
    <t>Cust_Name</t>
  </si>
  <si>
    <t xml:space="preserve">Cust_PN </t>
  </si>
  <si>
    <t>Job Assumptions we consider when quoting and Job Notes</t>
  </si>
  <si>
    <t>Yes</t>
  </si>
  <si>
    <t>No</t>
  </si>
  <si>
    <t>TBD</t>
  </si>
  <si>
    <t>Comments</t>
  </si>
  <si>
    <t>Yes/No</t>
  </si>
  <si>
    <t>Fine Pitch, QFP, QFN, or BGA</t>
  </si>
  <si>
    <t>6 to 8 weeks</t>
  </si>
  <si>
    <t>3 to 4 weeks</t>
  </si>
  <si>
    <t>1 to 2 weeks</t>
  </si>
  <si>
    <t>Any reason to increase or decrease time and pricing.</t>
  </si>
  <si>
    <t>Comments :</t>
  </si>
  <si>
    <t>Ask Max/Praful</t>
  </si>
  <si>
    <t>1-2 DAY T.U.</t>
  </si>
  <si>
    <t>Leadtimes</t>
  </si>
  <si>
    <t>High-high</t>
  </si>
  <si>
    <t>High-medium</t>
  </si>
  <si>
    <t>Complexity factor</t>
  </si>
  <si>
    <t>High-low</t>
  </si>
  <si>
    <t>Medium-high</t>
  </si>
  <si>
    <t>Medium-medium</t>
  </si>
  <si>
    <t>Medium-low</t>
  </si>
  <si>
    <t>Low-high</t>
  </si>
  <si>
    <t>Low-medium</t>
  </si>
  <si>
    <t>Low-low</t>
  </si>
  <si>
    <t>Office</t>
  </si>
  <si>
    <t>Bare Bottom</t>
  </si>
  <si>
    <t>Quote Pricing</t>
  </si>
  <si>
    <t>Special Processes:</t>
  </si>
  <si>
    <t>Total hours</t>
  </si>
  <si>
    <t xml:space="preserve">Pictures </t>
  </si>
  <si>
    <t>FAIR, CofC</t>
  </si>
  <si>
    <t>On board Programming</t>
  </si>
  <si>
    <t xml:space="preserve">Epoxy, RTV, potting, other chemicals, etc. </t>
  </si>
  <si>
    <t>Wash</t>
  </si>
  <si>
    <t>Reflow Solder Oven</t>
  </si>
  <si>
    <t>SMT pick &amp; place</t>
  </si>
  <si>
    <t>Screen printing</t>
  </si>
  <si>
    <t>SMT programming</t>
  </si>
  <si>
    <t>Stencil received</t>
  </si>
  <si>
    <t>PCB received</t>
  </si>
  <si>
    <t>Job box prep</t>
  </si>
  <si>
    <t>Traveler steps</t>
  </si>
  <si>
    <t>Stencil order</t>
  </si>
  <si>
    <t>PCB order</t>
  </si>
  <si>
    <t>Purchasing</t>
  </si>
  <si>
    <t>Traveler creation</t>
  </si>
  <si>
    <t>QQTYs</t>
  </si>
  <si>
    <t>Per unit price</t>
  </si>
  <si>
    <t>Qty</t>
  </si>
  <si>
    <t>Number of Unique parts</t>
  </si>
  <si>
    <t>Leadtime: Standard</t>
  </si>
  <si>
    <t>Yield Rate</t>
  </si>
  <si>
    <t>Leadtime:Premium</t>
  </si>
  <si>
    <t>Leadtime:Rush</t>
  </si>
  <si>
    <t>Leadtime:Standard</t>
  </si>
  <si>
    <t>Processflow/Traveler steps</t>
  </si>
  <si>
    <t>Per unit hours</t>
  </si>
  <si>
    <t>Final total price</t>
  </si>
  <si>
    <t>Additional Setup time if any</t>
  </si>
  <si>
    <t>AOI -time to process all boards</t>
  </si>
  <si>
    <t>AOI - setup/program time</t>
  </si>
  <si>
    <t>Total SMT line hours</t>
  </si>
  <si>
    <t>Total TH hours from larger kit calc, sec per part</t>
  </si>
  <si>
    <t>Depanelization</t>
  </si>
  <si>
    <t xml:space="preserve"> Total Hand hours from larger kit calc, sec per part</t>
  </si>
  <si>
    <t>1:Use;0:Not.</t>
  </si>
  <si>
    <t>Cable Assembly Manufacturing</t>
  </si>
  <si>
    <t xml:space="preserve">Primary-TH/WAVE Manufacturing </t>
  </si>
  <si>
    <t xml:space="preserve">Primary-SMT/AUTO Manufacturing </t>
  </si>
  <si>
    <t xml:space="preserve">FA, HS Manufacturing </t>
  </si>
  <si>
    <t>SMT Inventory check</t>
  </si>
  <si>
    <t>Labelling - printing and applying labels</t>
  </si>
  <si>
    <t>Accounts, PO processing, paperwork</t>
  </si>
  <si>
    <t>Shipping - Packaging</t>
  </si>
  <si>
    <t>Shipping - creating shipper scanning all travelers</t>
  </si>
  <si>
    <t>Parts received, entering, counting, Scanning CofC</t>
  </si>
  <si>
    <t>From Checklist sheet</t>
  </si>
  <si>
    <t>Yield by Type</t>
  </si>
  <si>
    <t>Blended Target Yield</t>
  </si>
  <si>
    <t>Final total Assy hours</t>
  </si>
  <si>
    <t>Type of quote</t>
  </si>
  <si>
    <t>Recommended</t>
  </si>
  <si>
    <t>Premium pricing</t>
  </si>
  <si>
    <t>Average Pricing</t>
  </si>
  <si>
    <t>Quality Control(QC),  Visual/Final Inspection</t>
  </si>
  <si>
    <t>Putting Leftover/Remaining parts back into Inventory</t>
  </si>
  <si>
    <t>Total SMT line hours from larger kit calc, sec per part</t>
  </si>
  <si>
    <t>Quantities</t>
  </si>
  <si>
    <t>Leadtime: specific process for specific customers</t>
  </si>
  <si>
    <t>From larger kit calc, sec per part sheet</t>
  </si>
  <si>
    <t>Reality
 Factor</t>
  </si>
  <si>
    <t>Avg 
Factor</t>
  </si>
  <si>
    <t xml:space="preserve">Min. total cost </t>
  </si>
  <si>
    <t>Min. Qty</t>
  </si>
  <si>
    <t>Notes:</t>
  </si>
  <si>
    <t>If using this pricing, then why?</t>
  </si>
  <si>
    <t>BOM creation &amp; keeping BOM up to date</t>
  </si>
  <si>
    <t>SMT by HAND</t>
  </si>
  <si>
    <t>N/A</t>
  </si>
  <si>
    <t>Job Notes</t>
  </si>
  <si>
    <t xml:space="preserve">Taping the small dots requires cutting to make tape smaller. 15 sec per dot cutting. 1 min for 4 dots. </t>
  </si>
  <si>
    <t>Min. unit price</t>
  </si>
  <si>
    <t>For Quantity 
in H column</t>
  </si>
  <si>
    <t>For Quantity 
in I column</t>
  </si>
  <si>
    <t>For Quantity 
in J column</t>
  </si>
  <si>
    <t>For Quantity 
in K column</t>
  </si>
  <si>
    <t>For Quantity 
in L column</t>
  </si>
  <si>
    <t>Min.
hrs.</t>
  </si>
  <si>
    <t>Preperations</t>
  </si>
  <si>
    <t>SMT glue includes program time, setup time, run time and clean time. 
Program time is calculated in NRE costs.</t>
  </si>
  <si>
    <t>Class 2 Job</t>
  </si>
  <si>
    <t>Class 3  Job</t>
  </si>
  <si>
    <t>Spray time, 2.65 min per side.
For bigger boards  5 min per side.</t>
  </si>
  <si>
    <t>Any Special Process or any Special Parts - sensor, switch, fuse, relay, transformer, coil, LCD, display, LED, module, etc.</t>
  </si>
  <si>
    <t>RoHS</t>
  </si>
  <si>
    <t>ITAR</t>
  </si>
  <si>
    <t>Class 3</t>
  </si>
  <si>
    <t>Class 2</t>
  </si>
  <si>
    <t>2-sided TH</t>
  </si>
  <si>
    <t>2-sided SMT</t>
  </si>
  <si>
    <t>Min hrs for any process is 0.12 hrs.</t>
  </si>
  <si>
    <t>1-sided SMT</t>
  </si>
  <si>
    <t>1-sided TH</t>
  </si>
  <si>
    <t>Total hrs for ICs in tube, tray packaging, 15 min per part</t>
  </si>
  <si>
    <t>Number of ICs in tube, tray packaging</t>
  </si>
  <si>
    <t>Number of locations -</t>
  </si>
  <si>
    <t>Number of parts in bulk packaging</t>
  </si>
  <si>
    <t>Total hrs for parts in bulk packaging, 15 min per part</t>
  </si>
  <si>
    <t>For Quantity 
in M column</t>
  </si>
  <si>
    <t>For Quantity 
in N column</t>
  </si>
  <si>
    <t>Adders</t>
  </si>
  <si>
    <t>8514ML</t>
  </si>
  <si>
    <t xml:space="preserve">Jankel </t>
  </si>
  <si>
    <t>Tactical Occupant</t>
  </si>
  <si>
    <t>-</t>
  </si>
  <si>
    <t xml:space="preserve"> </t>
  </si>
  <si>
    <t>HA only</t>
  </si>
  <si>
    <t>SEECO</t>
  </si>
  <si>
    <t>Latrobe</t>
  </si>
  <si>
    <t>Cable Assy also</t>
  </si>
  <si>
    <t>Southern Ele. Equip.</t>
  </si>
  <si>
    <t>RPI</t>
  </si>
  <si>
    <t>Incl. SMT</t>
  </si>
  <si>
    <t>8112L</t>
  </si>
  <si>
    <t>Galaxy/Saturn</t>
  </si>
  <si>
    <t>8258L</t>
  </si>
  <si>
    <t>Apex Tool</t>
  </si>
  <si>
    <t>Eye Trax</t>
  </si>
  <si>
    <t>7183L</t>
  </si>
  <si>
    <t>Electroswitch</t>
  </si>
  <si>
    <t>8218L</t>
  </si>
  <si>
    <t>Belleson</t>
  </si>
  <si>
    <t>Add On</t>
  </si>
  <si>
    <t>5/5/2023 Latr. 252 Juki</t>
  </si>
  <si>
    <t>Digital Grid</t>
  </si>
  <si>
    <t>PL-4011 Waterbury PCA</t>
  </si>
  <si>
    <t>Motec</t>
  </si>
  <si>
    <t>8080L</t>
  </si>
  <si>
    <t>Matrix</t>
  </si>
  <si>
    <t>8167M</t>
  </si>
  <si>
    <t>SPX/Flash Tech</t>
  </si>
  <si>
    <t>7124L</t>
  </si>
  <si>
    <t>Keyper</t>
  </si>
  <si>
    <t>8125L</t>
  </si>
  <si>
    <t>8243-1</t>
  </si>
  <si>
    <t>CPI (Carolina Products)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</si>
</sst>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4">
    <numFmt numFmtId="5" formatCode="&quot;$&quot;#,##0_);\(&quot;$&quot;#,##0\)"/>
    <numFmt numFmtId="6" formatCode="&quot;$&quot;#,##0_);[Red]\(&quot;$&quot;#,##0\)"/>
    <numFmt numFmtId="7" formatCode="&quot;$&quot;#,##0.00_);\(&quot;$&quot;#,##0.00\)"/>
    <numFmt numFmtId="8" formatCode="&quot;$&quot;#,##0.00_);[Red]\(&quot;$&quot;#,##0.00\)"/>
    <numFmt numFmtId="44" formatCode="_(&quot;$&quot;* #,##0.00_);_(&quot;$&quot;* \(#,##0.00\);_(&quot;$&quot;* &quot;-&quot;??_);_(@_)"/>
    <numFmt numFmtId="43" formatCode="_(* #,##0.00_);_(* \(#,##0.00\);_(* &quot;-&quot;??_);_(@_)"/>
    <numFmt numFmtId="164" formatCode="0.0"/>
    <numFmt numFmtId="165" formatCode="&quot;$&quot;#,##0.000_);\(&quot;$&quot;#,##0.000\)"/>
    <numFmt numFmtId="166" formatCode="0.000"/>
    <numFmt numFmtId="167" formatCode="&quot;$&quot;#,##0.0_);\(&quot;$&quot;#,##0.0\)"/>
    <numFmt numFmtId="168" formatCode="m/d/yy;@"/>
    <numFmt numFmtId="169" formatCode="0.0%"/>
    <numFmt numFmtId="170" formatCode="_(* #,##0.0_);_(* \(#,##0.0\);_(* &quot;-&quot;??_);_(@_)"/>
    <numFmt numFmtId="171" formatCode="_(* #,##0_);_(* \(#,##0\);_(* &quot;-&quot;??_);_(@_)"/>
  </numFmts>
  <fonts count="40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1"/>
      <name val="Calibri"/>
      <family val="2"/>
      <scheme val="minor"/>
    </font>
    <font>
      <sz val="11"/>
      <color rgb="FFC000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theme="8"/>
      <name val="Calibri"/>
      <family val="2"/>
      <scheme val="minor"/>
    </font>
    <font>
      <sz val="11"/>
      <color rgb="FF0070C0"/>
      <name val="Calibri"/>
      <family val="2"/>
      <scheme val="minor"/>
    </font>
    <font>
      <b/>
      <sz val="11"/>
      <color theme="1"/>
      <name val="Calibri"/>
      <family val="2"/>
      <scheme val="minor"/>
    </font>
    <font>
      <b/>
      <sz val="11"/>
      <color theme="8" tint="-0.499984740745262"/>
      <name val="Calibri"/>
      <family val="2"/>
      <scheme val="minor"/>
    </font>
    <font>
      <sz val="11"/>
      <color rgb="FFF2750E"/>
      <name val="Calibri"/>
      <family val="2"/>
      <scheme val="minor"/>
    </font>
    <font>
      <sz val="8"/>
      <color theme="5" tint="-0.249977111117893"/>
      <name val="Calibri"/>
      <family val="2"/>
      <scheme val="minor"/>
    </font>
    <font>
      <sz val="11"/>
      <color rgb="FFFF0000"/>
      <name val="Calibri"/>
      <family val="2"/>
      <scheme val="minor"/>
    </font>
    <font>
      <b/>
      <sz val="11"/>
      <color theme="8"/>
      <name val="Calibri"/>
      <family val="2"/>
      <scheme val="minor"/>
    </font>
    <font>
      <b/>
      <sz val="11"/>
      <color theme="9" tint="-0.499984740745262"/>
      <name val="Calibri"/>
      <family val="2"/>
      <scheme val="minor"/>
    </font>
    <font>
      <b/>
      <sz val="11"/>
      <color rgb="FFF2750E"/>
      <name val="Calibri"/>
      <family val="2"/>
      <scheme val="minor"/>
    </font>
    <font>
      <b/>
      <sz val="11"/>
      <color theme="5"/>
      <name val="Calibri"/>
      <family val="2"/>
      <scheme val="minor"/>
    </font>
    <font>
      <b/>
      <i/>
      <sz val="11"/>
      <color rgb="FFFF0000"/>
      <name val="Calibri"/>
      <family val="2"/>
      <scheme val="minor"/>
    </font>
    <font>
      <b/>
      <sz val="11"/>
      <color rgb="FFC00000"/>
      <name val="Calibri"/>
      <family val="2"/>
      <scheme val="minor"/>
    </font>
    <font>
      <sz val="11"/>
      <color theme="5" tint="-0.499984740745262"/>
      <name val="Calibri"/>
      <family val="2"/>
      <scheme val="minor"/>
    </font>
    <font>
      <sz val="12"/>
      <color theme="1"/>
      <name val="Calibri"/>
      <family val="2"/>
      <scheme val="minor"/>
    </font>
    <font>
      <b/>
      <sz val="12"/>
      <name val="Calibri"/>
      <family val="2"/>
      <scheme val="minor"/>
    </font>
    <font>
      <sz val="18"/>
      <color theme="1"/>
      <name val="Calibri"/>
      <family val="2"/>
      <scheme val="minor"/>
    </font>
    <font>
      <sz val="9"/>
      <color indexed="81"/>
      <name val="Tahoma"/>
      <family val="2"/>
    </font>
    <font>
      <b/>
      <sz val="9"/>
      <color indexed="81"/>
      <name val="Tahoma"/>
      <family val="2"/>
    </font>
    <font>
      <sz val="8"/>
      <name val="Calibri"/>
      <family val="2"/>
      <scheme val="minor"/>
    </font>
    <font>
      <b/>
      <sz val="12"/>
      <color theme="1"/>
      <name val="Calibri"/>
      <family val="2"/>
      <scheme val="min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b/>
      <sz val="13"/>
      <name val="Calibri"/>
      <family val="2"/>
      <scheme val="minor"/>
    </font>
    <font>
      <b/>
      <sz val="14"/>
      <color theme="3"/>
      <name val="Calibri"/>
      <family val="2"/>
      <scheme val="minor"/>
    </font>
    <font>
      <sz val="11"/>
      <color rgb="FF9C5700"/>
      <name val="Calibri"/>
      <family val="2"/>
      <scheme val="minor"/>
    </font>
    <font>
      <b/>
      <sz val="18"/>
      <color rgb="FFFF0000"/>
      <name val="Calibri"/>
      <family val="2"/>
      <scheme val="minor"/>
    </font>
    <font>
      <sz val="16"/>
      <color theme="1"/>
      <name val="Calibri"/>
      <family val="2"/>
      <scheme val="minor"/>
    </font>
    <font>
      <b/>
      <sz val="18"/>
      <color theme="0"/>
      <name val="Calibri"/>
      <family val="2"/>
      <scheme val="minor"/>
    </font>
    <font>
      <b/>
      <sz val="14"/>
      <name val="Calibri"/>
      <family val="2"/>
      <scheme val="minor"/>
    </font>
    <font>
      <b/>
      <sz val="16"/>
      <color theme="1"/>
      <name val="Calibri"/>
      <family val="2"/>
      <scheme val="minor"/>
    </font>
    <font>
      <b/>
      <sz val="16"/>
      <color rgb="FF00B050"/>
      <name val="Calibri"/>
      <family val="2"/>
      <scheme val="minor"/>
    </font>
    <font>
      <sz val="20"/>
      <color theme="1"/>
      <name val="Calibri"/>
      <family val="2"/>
      <scheme val="minor"/>
    </font>
  </fonts>
  <fills count="2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  <fill>
      <patternFill patternType="solid">
        <fgColor theme="5" tint="0.79998168889431442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9" tint="0.59999389629810485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2" tint="-0.499984740745262"/>
        <bgColor indexed="64"/>
      </patternFill>
    </fill>
    <fill>
      <patternFill patternType="solid">
        <fgColor theme="2"/>
        <bgColor indexed="64"/>
      </patternFill>
    </fill>
    <fill>
      <patternFill patternType="solid">
        <fgColor rgb="FF3FCDFF"/>
        <bgColor indexed="64"/>
      </patternFill>
    </fill>
    <fill>
      <patternFill patternType="solid">
        <fgColor theme="7" tint="0.39997558519241921"/>
        <bgColor indexed="64"/>
      </patternFill>
    </fill>
    <fill>
      <patternFill patternType="solid">
        <fgColor rgb="FF57D3FF"/>
        <bgColor indexed="64"/>
      </patternFill>
    </fill>
    <fill>
      <patternFill patternType="solid">
        <fgColor rgb="FFFFFF00"/>
        <bgColor indexed="64"/>
      </patternFill>
    </fill>
    <fill>
      <patternFill patternType="solid">
        <fgColor theme="4" tint="0.59999389629810485"/>
        <bgColor indexed="64"/>
      </patternFill>
    </fill>
    <fill>
      <patternFill patternType="solid">
        <fgColor rgb="FFFFFF66"/>
        <bgColor indexed="64"/>
      </patternFill>
    </fill>
    <fill>
      <patternFill patternType="solid">
        <fgColor theme="2" tint="-0.749961851863155"/>
        <bgColor indexed="64"/>
      </patternFill>
    </fill>
    <fill>
      <patternFill patternType="solid">
        <fgColor rgb="FFC6EFCE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00B0F0"/>
        <bgColor indexed="64"/>
      </patternFill>
    </fill>
    <fill>
      <patternFill patternType="solid">
        <fgColor rgb="FFFFEB9C"/>
      </patternFill>
    </fill>
    <fill>
      <patternFill patternType="solid">
        <fgColor rgb="FFFFCCFF"/>
        <bgColor indexed="64"/>
      </patternFill>
    </fill>
    <fill>
      <patternFill patternType="solid">
        <fgColor theme="4" tint="0.39997558519241921"/>
        <bgColor indexed="64"/>
      </patternFill>
    </fill>
    <fill>
      <patternFill patternType="solid">
        <fgColor rgb="FFFFC000"/>
        <bgColor indexed="64"/>
      </patternFill>
    </fill>
  </fills>
  <borders count="61">
    <border>
      <left/>
      <right/>
      <top/>
      <bottom/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  <border>
      <left style="thin">
        <color indexed="64"/>
      </left>
      <right/>
      <top/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rgb="FFC00000"/>
      </left>
      <right/>
      <top/>
      <bottom style="thin">
        <color rgb="FFC00000"/>
      </bottom>
      <diagonal/>
    </border>
    <border>
      <left/>
      <right/>
      <top/>
      <bottom style="thin">
        <color theme="1"/>
      </bottom>
      <diagonal/>
    </border>
    <border>
      <left style="thin">
        <color rgb="FFC00000"/>
      </left>
      <right/>
      <top/>
      <bottom/>
      <diagonal/>
    </border>
    <border>
      <left style="thin">
        <color theme="9" tint="-0.499984740745262"/>
      </left>
      <right/>
      <top/>
      <bottom/>
      <diagonal/>
    </border>
    <border>
      <left style="thin">
        <color theme="9" tint="-0.499984740745262"/>
      </left>
      <right/>
      <top/>
      <bottom style="thin">
        <color theme="9" tint="-0.499984740745262"/>
      </bottom>
      <diagonal/>
    </border>
    <border>
      <left style="medium">
        <color rgb="FFF2750E"/>
      </left>
      <right/>
      <top style="medium">
        <color rgb="FFF2750E"/>
      </top>
      <bottom/>
      <diagonal/>
    </border>
    <border>
      <left/>
      <right/>
      <top style="medium">
        <color rgb="FFF2750E"/>
      </top>
      <bottom/>
      <diagonal/>
    </border>
    <border>
      <left/>
      <right style="medium">
        <color rgb="FFF2750E"/>
      </right>
      <top style="medium">
        <color rgb="FFF2750E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rgb="FF57D3FF"/>
      </left>
      <right/>
      <top/>
      <bottom/>
      <diagonal/>
    </border>
    <border>
      <left style="medium">
        <color rgb="FFF2750E"/>
      </left>
      <right/>
      <top/>
      <bottom style="thin">
        <color indexed="64"/>
      </bottom>
      <diagonal/>
    </border>
    <border>
      <left/>
      <right style="medium">
        <color rgb="FFF2750E"/>
      </right>
      <top/>
      <bottom style="thin">
        <color theme="1"/>
      </bottom>
      <diagonal/>
    </border>
    <border>
      <left style="medium">
        <color indexed="64"/>
      </left>
      <right/>
      <top/>
      <bottom style="thin">
        <color theme="1"/>
      </bottom>
      <diagonal/>
    </border>
    <border>
      <left/>
      <right style="medium">
        <color indexed="64"/>
      </right>
      <top/>
      <bottom style="thin">
        <color theme="1"/>
      </bottom>
      <diagonal/>
    </border>
    <border>
      <left style="medium">
        <color rgb="FF57D3FF"/>
      </left>
      <right/>
      <top/>
      <bottom style="thin">
        <color indexed="64"/>
      </bottom>
      <diagonal/>
    </border>
    <border>
      <left style="medium">
        <color rgb="FFF2750E"/>
      </left>
      <right/>
      <top/>
      <bottom/>
      <diagonal/>
    </border>
    <border>
      <left/>
      <right style="medium">
        <color rgb="FFF2750E"/>
      </right>
      <top/>
      <bottom/>
      <diagonal/>
    </border>
    <border>
      <left/>
      <right/>
      <top/>
      <bottom style="medium">
        <color rgb="FFF2750E"/>
      </bottom>
      <diagonal/>
    </border>
    <border>
      <left/>
      <right style="medium">
        <color rgb="FFF2750E"/>
      </right>
      <top/>
      <bottom style="medium">
        <color rgb="FFF2750E"/>
      </bottom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 style="medium">
        <color theme="1"/>
      </right>
      <top/>
      <bottom/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 style="medium">
        <color theme="1"/>
      </right>
      <top style="medium">
        <color theme="1"/>
      </top>
      <bottom/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/>
      <top/>
      <bottom style="medium">
        <color indexed="64"/>
      </bottom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/>
      <right/>
      <top style="medium">
        <color theme="4" tint="0.39997558519241921"/>
      </top>
      <bottom style="thick">
        <color theme="4" tint="0.499984740745262"/>
      </bottom>
      <diagonal/>
    </border>
    <border>
      <left style="thin">
        <color indexed="64"/>
      </left>
      <right/>
      <top style="thick">
        <color theme="4" tint="0.499984740745262"/>
      </top>
      <bottom/>
      <diagonal/>
    </border>
    <border>
      <left/>
      <right/>
      <top style="thick">
        <color theme="4" tint="0.499984740745262"/>
      </top>
      <bottom/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 style="thin">
        <color indexed="64"/>
      </bottom>
      <diagonal/>
    </border>
    <border>
      <left/>
      <right style="medium">
        <color indexed="64"/>
      </right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medium">
        <color indexed="64"/>
      </left>
      <right style="thin">
        <color indexed="64"/>
      </right>
      <top/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/>
      <top style="medium">
        <color indexed="64"/>
      </top>
      <bottom style="thin">
        <color theme="1"/>
      </bottom>
      <diagonal/>
    </border>
  </borders>
  <cellStyleXfs count="9">
    <xf numFmtId="0" fontId="0" fillId="0" borderId="0"/>
    <xf numFmtId="44" fontId="1" fillId="0" borderId="0" applyFont="0" applyFill="0" applyBorder="0" applyAlignment="0" applyProtection="0"/>
    <xf numFmtId="9" fontId="1" fillId="0" borderId="0" applyFont="0" applyFill="0" applyBorder="0" applyAlignment="0" applyProtection="0"/>
    <xf numFmtId="43" fontId="1" fillId="0" borderId="0" applyFont="0" applyFill="0" applyBorder="0" applyAlignment="0" applyProtection="0"/>
    <xf numFmtId="0" fontId="26" fillId="0" borderId="42" applyNumberFormat="0" applyFill="0" applyAlignment="0" applyProtection="0"/>
    <xf numFmtId="0" fontId="27" fillId="0" borderId="43" applyNumberFormat="0" applyFill="0" applyAlignment="0" applyProtection="0"/>
    <xf numFmtId="0" fontId="28" fillId="0" borderId="44" applyNumberFormat="0" applyFill="0" applyAlignment="0" applyProtection="0"/>
    <xf numFmtId="0" fontId="29" fillId="16" borderId="0" applyNumberFormat="0" applyBorder="0" applyAlignment="0" applyProtection="0"/>
    <xf numFmtId="0" fontId="32" fillId="19" borderId="0" applyNumberFormat="0" applyBorder="0" applyAlignment="0" applyProtection="0"/>
  </cellStyleXfs>
  <cellXfs count="308">
    <xf numFmtId="0" fontId="0" fillId="0" borderId="0" xfId="0"/>
    <xf numFmtId="2" fontId="0" fillId="0" borderId="0" xfId="0" applyNumberFormat="1"/>
    <xf numFmtId="1" fontId="0" fillId="0" borderId="0" xfId="0" applyNumberFormat="1"/>
    <xf numFmtId="0" fontId="0" fillId="0" borderId="0" xfId="0" applyAlignment="1">
      <alignment horizontal="right"/>
    </xf>
    <xf numFmtId="7" fontId="0" fillId="0" borderId="0" xfId="0" applyNumberFormat="1"/>
    <xf numFmtId="0" fontId="0" fillId="0" borderId="1" xfId="0" applyBorder="1"/>
    <xf numFmtId="1" fontId="0" fillId="0" borderId="1" xfId="0" applyNumberFormat="1" applyBorder="1"/>
    <xf numFmtId="2" fontId="0" fillId="0" borderId="1" xfId="0" applyNumberFormat="1" applyBorder="1"/>
    <xf numFmtId="0" fontId="0" fillId="0" borderId="1" xfId="0" applyBorder="1" applyAlignment="1">
      <alignment horizontal="right"/>
    </xf>
    <xf numFmtId="0" fontId="0" fillId="2" borderId="0" xfId="0" applyFill="1"/>
    <xf numFmtId="0" fontId="0" fillId="5" borderId="1" xfId="0" applyFill="1" applyBorder="1" applyAlignment="1">
      <alignment horizontal="right"/>
    </xf>
    <xf numFmtId="0" fontId="0" fillId="4" borderId="1" xfId="0" applyFill="1" applyBorder="1" applyAlignment="1">
      <alignment horizontal="right"/>
    </xf>
    <xf numFmtId="5" fontId="5" fillId="0" borderId="0" xfId="0" applyNumberFormat="1" applyFont="1"/>
    <xf numFmtId="0" fontId="6" fillId="0" borderId="0" xfId="0" applyFont="1"/>
    <xf numFmtId="0" fontId="6" fillId="0" borderId="0" xfId="0" applyFont="1" applyAlignment="1">
      <alignment horizontal="right"/>
    </xf>
    <xf numFmtId="0" fontId="0" fillId="4" borderId="0" xfId="0" applyFill="1"/>
    <xf numFmtId="0" fontId="0" fillId="0" borderId="10" xfId="0" applyBorder="1"/>
    <xf numFmtId="0" fontId="0" fillId="0" borderId="4" xfId="0" applyBorder="1" applyAlignment="1">
      <alignment horizontal="center"/>
    </xf>
    <xf numFmtId="10" fontId="0" fillId="0" borderId="0" xfId="2" applyNumberFormat="1" applyFont="1"/>
    <xf numFmtId="0" fontId="0" fillId="0" borderId="10" xfId="0" applyBorder="1" applyAlignment="1">
      <alignment horizontal="right"/>
    </xf>
    <xf numFmtId="0" fontId="3" fillId="0" borderId="1" xfId="0" applyFont="1" applyBorder="1"/>
    <xf numFmtId="0" fontId="0" fillId="0" borderId="6" xfId="0" applyBorder="1" applyAlignment="1">
      <alignment horizontal="center"/>
    </xf>
    <xf numFmtId="0" fontId="5" fillId="0" borderId="0" xfId="0" applyFont="1"/>
    <xf numFmtId="2" fontId="5" fillId="0" borderId="0" xfId="0" applyNumberFormat="1" applyFont="1"/>
    <xf numFmtId="8" fontId="5" fillId="0" borderId="0" xfId="0" applyNumberFormat="1" applyFont="1"/>
    <xf numFmtId="166" fontId="5" fillId="0" borderId="0" xfId="0" applyNumberFormat="1" applyFont="1"/>
    <xf numFmtId="0" fontId="0" fillId="0" borderId="9" xfId="0" applyBorder="1" applyAlignment="1">
      <alignment horizontal="right"/>
    </xf>
    <xf numFmtId="0" fontId="0" fillId="0" borderId="3" xfId="0" applyBorder="1" applyAlignment="1">
      <alignment horizontal="center"/>
    </xf>
    <xf numFmtId="0" fontId="0" fillId="0" borderId="5" xfId="0" applyBorder="1"/>
    <xf numFmtId="0" fontId="0" fillId="0" borderId="6" xfId="0" applyBorder="1"/>
    <xf numFmtId="0" fontId="0" fillId="0" borderId="7" xfId="0" applyBorder="1"/>
    <xf numFmtId="0" fontId="0" fillId="0" borderId="3" xfId="0" applyBorder="1"/>
    <xf numFmtId="0" fontId="0" fillId="0" borderId="8" xfId="0" applyBorder="1"/>
    <xf numFmtId="0" fontId="0" fillId="0" borderId="3" xfId="0" applyBorder="1" applyAlignment="1">
      <alignment horizontal="right"/>
    </xf>
    <xf numFmtId="0" fontId="0" fillId="0" borderId="4" xfId="0" applyBorder="1" applyAlignment="1">
      <alignment horizontal="right"/>
    </xf>
    <xf numFmtId="0" fontId="0" fillId="0" borderId="6" xfId="0" applyBorder="1" applyAlignment="1">
      <alignment horizontal="left"/>
    </xf>
    <xf numFmtId="0" fontId="0" fillId="0" borderId="3" xfId="0" applyBorder="1" applyAlignment="1">
      <alignment horizontal="left"/>
    </xf>
    <xf numFmtId="9" fontId="0" fillId="0" borderId="0" xfId="0" applyNumberFormat="1"/>
    <xf numFmtId="0" fontId="0" fillId="0" borderId="2" xfId="0" applyBorder="1"/>
    <xf numFmtId="0" fontId="7" fillId="0" borderId="6" xfId="0" applyFont="1" applyBorder="1"/>
    <xf numFmtId="0" fontId="0" fillId="0" borderId="5" xfId="0" applyBorder="1" applyAlignment="1">
      <alignment horizontal="left"/>
    </xf>
    <xf numFmtId="0" fontId="0" fillId="0" borderId="0" xfId="0" applyAlignment="1">
      <alignment horizontal="left"/>
    </xf>
    <xf numFmtId="166" fontId="0" fillId="0" borderId="0" xfId="0" applyNumberFormat="1" applyAlignment="1">
      <alignment horizontal="right"/>
    </xf>
    <xf numFmtId="2" fontId="0" fillId="0" borderId="0" xfId="0" applyNumberFormat="1" applyAlignment="1">
      <alignment horizontal="right"/>
    </xf>
    <xf numFmtId="164" fontId="0" fillId="0" borderId="0" xfId="0" applyNumberFormat="1" applyAlignment="1">
      <alignment horizontal="right"/>
    </xf>
    <xf numFmtId="1" fontId="0" fillId="0" borderId="0" xfId="0" applyNumberFormat="1" applyAlignment="1">
      <alignment horizontal="right"/>
    </xf>
    <xf numFmtId="164" fontId="0" fillId="0" borderId="1" xfId="0" applyNumberFormat="1" applyBorder="1" applyAlignment="1">
      <alignment horizontal="right"/>
    </xf>
    <xf numFmtId="2" fontId="0" fillId="0" borderId="10" xfId="0" applyNumberFormat="1" applyBorder="1"/>
    <xf numFmtId="0" fontId="8" fillId="0" borderId="0" xfId="0" applyFont="1"/>
    <xf numFmtId="7" fontId="8" fillId="4" borderId="0" xfId="1" applyNumberFormat="1" applyFont="1" applyFill="1" applyBorder="1"/>
    <xf numFmtId="5" fontId="8" fillId="0" borderId="0" xfId="1" applyNumberFormat="1" applyFont="1" applyFill="1" applyBorder="1"/>
    <xf numFmtId="0" fontId="0" fillId="0" borderId="11" xfId="0" applyBorder="1" applyAlignment="1">
      <alignment horizontal="left" vertical="top"/>
    </xf>
    <xf numFmtId="0" fontId="0" fillId="0" borderId="11" xfId="0" applyBorder="1"/>
    <xf numFmtId="0" fontId="0" fillId="0" borderId="12" xfId="0" applyBorder="1"/>
    <xf numFmtId="0" fontId="0" fillId="9" borderId="0" xfId="0" applyFill="1" applyAlignment="1">
      <alignment horizontal="center"/>
    </xf>
    <xf numFmtId="0" fontId="0" fillId="10" borderId="0" xfId="0" applyFill="1" applyAlignment="1">
      <alignment horizontal="center"/>
    </xf>
    <xf numFmtId="7" fontId="7" fillId="4" borderId="7" xfId="1" applyNumberFormat="1" applyFont="1" applyFill="1" applyBorder="1" applyAlignment="1">
      <alignment horizontal="center"/>
    </xf>
    <xf numFmtId="0" fontId="0" fillId="8" borderId="1" xfId="0" applyFill="1" applyBorder="1" applyAlignment="1">
      <alignment horizontal="right"/>
    </xf>
    <xf numFmtId="0" fontId="7" fillId="9" borderId="1" xfId="0" applyFont="1" applyFill="1" applyBorder="1" applyAlignment="1">
      <alignment horizontal="right"/>
    </xf>
    <xf numFmtId="0" fontId="0" fillId="9" borderId="1" xfId="0" applyFill="1" applyBorder="1" applyAlignment="1">
      <alignment horizontal="center"/>
    </xf>
    <xf numFmtId="0" fontId="0" fillId="10" borderId="1" xfId="0" applyFill="1" applyBorder="1" applyAlignment="1">
      <alignment horizontal="center"/>
    </xf>
    <xf numFmtId="7" fontId="7" fillId="4" borderId="8" xfId="1" applyNumberFormat="1" applyFont="1" applyFill="1" applyBorder="1"/>
    <xf numFmtId="169" fontId="0" fillId="0" borderId="0" xfId="2" applyNumberFormat="1" applyFont="1" applyBorder="1" applyAlignment="1">
      <alignment horizontal="center"/>
    </xf>
    <xf numFmtId="7" fontId="1" fillId="10" borderId="0" xfId="1" applyNumberFormat="1" applyFill="1" applyBorder="1" applyAlignment="1">
      <alignment horizontal="center"/>
    </xf>
    <xf numFmtId="7" fontId="0" fillId="0" borderId="7" xfId="0" applyNumberFormat="1" applyBorder="1"/>
    <xf numFmtId="0" fontId="0" fillId="0" borderId="0" xfId="0" applyAlignment="1">
      <alignment horizontal="center"/>
    </xf>
    <xf numFmtId="7" fontId="0" fillId="0" borderId="8" xfId="0" applyNumberFormat="1" applyBorder="1"/>
    <xf numFmtId="169" fontId="0" fillId="0" borderId="1" xfId="2" applyNumberFormat="1" applyFont="1" applyBorder="1" applyAlignment="1">
      <alignment horizontal="center"/>
    </xf>
    <xf numFmtId="170" fontId="0" fillId="0" borderId="0" xfId="0" applyNumberFormat="1"/>
    <xf numFmtId="164" fontId="0" fillId="0" borderId="0" xfId="0" applyNumberFormat="1" applyAlignment="1">
      <alignment horizontal="center"/>
    </xf>
    <xf numFmtId="168" fontId="0" fillId="0" borderId="0" xfId="0" applyNumberFormat="1"/>
    <xf numFmtId="0" fontId="2" fillId="0" borderId="0" xfId="0" applyFont="1" applyAlignment="1">
      <alignment horizontal="center"/>
    </xf>
    <xf numFmtId="164" fontId="0" fillId="0" borderId="1" xfId="0" applyNumberFormat="1" applyBorder="1" applyAlignment="1">
      <alignment horizontal="center"/>
    </xf>
    <xf numFmtId="0" fontId="0" fillId="0" borderId="1" xfId="0" applyBorder="1" applyAlignment="1">
      <alignment horizontal="center"/>
    </xf>
    <xf numFmtId="166" fontId="8" fillId="0" borderId="0" xfId="0" applyNumberFormat="1" applyFont="1"/>
    <xf numFmtId="0" fontId="10" fillId="0" borderId="0" xfId="0" applyFont="1" applyAlignment="1">
      <alignment horizontal="left"/>
    </xf>
    <xf numFmtId="7" fontId="10" fillId="10" borderId="0" xfId="1" applyNumberFormat="1" applyFont="1" applyFill="1" applyBorder="1" applyAlignment="1">
      <alignment horizontal="left"/>
    </xf>
    <xf numFmtId="7" fontId="0" fillId="0" borderId="1" xfId="0" applyNumberFormat="1" applyBorder="1"/>
    <xf numFmtId="7" fontId="10" fillId="4" borderId="0" xfId="0" applyNumberFormat="1" applyFont="1" applyFill="1" applyAlignment="1">
      <alignment horizontal="left"/>
    </xf>
    <xf numFmtId="7" fontId="8" fillId="2" borderId="15" xfId="1" applyNumberFormat="1" applyFont="1" applyFill="1" applyBorder="1"/>
    <xf numFmtId="0" fontId="9" fillId="0" borderId="0" xfId="0" applyFont="1"/>
    <xf numFmtId="0" fontId="0" fillId="2" borderId="14" xfId="0" applyFill="1" applyBorder="1" applyAlignment="1">
      <alignment horizontal="right"/>
    </xf>
    <xf numFmtId="164" fontId="9" fillId="0" borderId="0" xfId="0" applyNumberFormat="1" applyFont="1"/>
    <xf numFmtId="43" fontId="0" fillId="0" borderId="0" xfId="0" applyNumberFormat="1"/>
    <xf numFmtId="2" fontId="0" fillId="0" borderId="0" xfId="0" applyNumberFormat="1" applyAlignment="1">
      <alignment horizontal="center"/>
    </xf>
    <xf numFmtId="164" fontId="0" fillId="0" borderId="0" xfId="0" applyNumberFormat="1"/>
    <xf numFmtId="166" fontId="0" fillId="0" borderId="0" xfId="0" applyNumberFormat="1" applyAlignment="1">
      <alignment horizontal="center"/>
    </xf>
    <xf numFmtId="164" fontId="2" fillId="0" borderId="0" xfId="0" applyNumberFormat="1" applyFont="1" applyAlignment="1">
      <alignment horizontal="right"/>
    </xf>
    <xf numFmtId="0" fontId="2" fillId="0" borderId="0" xfId="0" applyFont="1" applyAlignment="1">
      <alignment horizontal="right"/>
    </xf>
    <xf numFmtId="9" fontId="13" fillId="12" borderId="0" xfId="2" applyFont="1" applyFill="1" applyBorder="1" applyAlignment="1">
      <alignment horizontal="center"/>
    </xf>
    <xf numFmtId="7" fontId="13" fillId="12" borderId="17" xfId="0" applyNumberFormat="1" applyFont="1" applyFill="1" applyBorder="1" applyAlignment="1">
      <alignment horizontal="right"/>
    </xf>
    <xf numFmtId="7" fontId="12" fillId="13" borderId="16" xfId="1" applyNumberFormat="1" applyFont="1" applyFill="1" applyBorder="1"/>
    <xf numFmtId="2" fontId="0" fillId="0" borderId="1" xfId="0" applyNumberFormat="1" applyBorder="1" applyAlignment="1">
      <alignment horizontal="center"/>
    </xf>
    <xf numFmtId="2" fontId="2" fillId="0" borderId="0" xfId="0" applyNumberFormat="1" applyFont="1" applyAlignment="1">
      <alignment horizontal="center"/>
    </xf>
    <xf numFmtId="2" fontId="7" fillId="9" borderId="1" xfId="0" applyNumberFormat="1" applyFont="1" applyFill="1" applyBorder="1"/>
    <xf numFmtId="0" fontId="14" fillId="14" borderId="0" xfId="0" applyFont="1" applyFill="1" applyAlignment="1">
      <alignment horizontal="center"/>
    </xf>
    <xf numFmtId="0" fontId="0" fillId="4" borderId="0" xfId="0" applyFill="1" applyAlignment="1">
      <alignment horizontal="right"/>
    </xf>
    <xf numFmtId="0" fontId="14" fillId="14" borderId="18" xfId="0" applyFont="1" applyFill="1" applyBorder="1" applyAlignment="1">
      <alignment horizontal="center"/>
    </xf>
    <xf numFmtId="0" fontId="14" fillId="14" borderId="19" xfId="0" applyFont="1" applyFill="1" applyBorder="1" applyAlignment="1">
      <alignment horizontal="center"/>
    </xf>
    <xf numFmtId="164" fontId="7" fillId="11" borderId="23" xfId="0" applyNumberFormat="1" applyFont="1" applyFill="1" applyBorder="1"/>
    <xf numFmtId="164" fontId="7" fillId="11" borderId="0" xfId="0" applyNumberFormat="1" applyFont="1" applyFill="1"/>
    <xf numFmtId="0" fontId="14" fillId="14" borderId="0" xfId="0" applyFont="1" applyFill="1" applyAlignment="1">
      <alignment horizontal="left"/>
    </xf>
    <xf numFmtId="0" fontId="0" fillId="4" borderId="24" xfId="0" applyFill="1" applyBorder="1" applyAlignment="1">
      <alignment horizontal="right"/>
    </xf>
    <xf numFmtId="0" fontId="14" fillId="14" borderId="14" xfId="0" applyFont="1" applyFill="1" applyBorder="1" applyAlignment="1">
      <alignment horizontal="center"/>
    </xf>
    <xf numFmtId="0" fontId="14" fillId="14" borderId="25" xfId="0" applyFont="1" applyFill="1" applyBorder="1" applyAlignment="1">
      <alignment horizontal="center"/>
    </xf>
    <xf numFmtId="0" fontId="14" fillId="14" borderId="24" xfId="0" applyFont="1" applyFill="1" applyBorder="1" applyAlignment="1">
      <alignment horizontal="center"/>
    </xf>
    <xf numFmtId="0" fontId="14" fillId="14" borderId="26" xfId="0" applyFont="1" applyFill="1" applyBorder="1" applyAlignment="1">
      <alignment horizontal="center"/>
    </xf>
    <xf numFmtId="0" fontId="14" fillId="14" borderId="27" xfId="0" applyFont="1" applyFill="1" applyBorder="1" applyAlignment="1">
      <alignment horizontal="center"/>
    </xf>
    <xf numFmtId="0" fontId="0" fillId="4" borderId="28" xfId="0" applyFill="1" applyBorder="1" applyAlignment="1">
      <alignment horizontal="right"/>
    </xf>
    <xf numFmtId="164" fontId="7" fillId="11" borderId="1" xfId="0" applyNumberFormat="1" applyFont="1" applyFill="1" applyBorder="1"/>
    <xf numFmtId="7" fontId="8" fillId="4" borderId="29" xfId="1" applyNumberFormat="1" applyFont="1" applyFill="1" applyBorder="1"/>
    <xf numFmtId="2" fontId="14" fillId="14" borderId="30" xfId="0" applyNumberFormat="1" applyFont="1" applyFill="1" applyBorder="1" applyAlignment="1">
      <alignment horizontal="center"/>
    </xf>
    <xf numFmtId="164" fontId="14" fillId="14" borderId="21" xfId="0" applyNumberFormat="1" applyFont="1" applyFill="1" applyBorder="1" applyAlignment="1">
      <alignment horizontal="center"/>
    </xf>
    <xf numFmtId="164" fontId="14" fillId="14" borderId="22" xfId="0" applyNumberFormat="1" applyFont="1" applyFill="1" applyBorder="1" applyAlignment="1">
      <alignment horizontal="center"/>
    </xf>
    <xf numFmtId="7" fontId="8" fillId="4" borderId="23" xfId="1" applyNumberFormat="1" applyFont="1" applyFill="1" applyBorder="1"/>
    <xf numFmtId="2" fontId="14" fillId="14" borderId="0" xfId="0" applyNumberFormat="1" applyFont="1" applyFill="1" applyAlignment="1">
      <alignment horizontal="center"/>
    </xf>
    <xf numFmtId="7" fontId="0" fillId="4" borderId="0" xfId="0" applyNumberFormat="1" applyFill="1"/>
    <xf numFmtId="166" fontId="14" fillId="14" borderId="31" xfId="0" applyNumberFormat="1" applyFont="1" applyFill="1" applyBorder="1"/>
    <xf numFmtId="0" fontId="5" fillId="14" borderId="31" xfId="0" applyFont="1" applyFill="1" applyBorder="1"/>
    <xf numFmtId="2" fontId="5" fillId="14" borderId="31" xfId="0" applyNumberFormat="1" applyFont="1" applyFill="1" applyBorder="1"/>
    <xf numFmtId="167" fontId="5" fillId="14" borderId="31" xfId="0" applyNumberFormat="1" applyFont="1" applyFill="1" applyBorder="1"/>
    <xf numFmtId="0" fontId="0" fillId="0" borderId="31" xfId="0" applyBorder="1"/>
    <xf numFmtId="0" fontId="0" fillId="0" borderId="32" xfId="0" applyBorder="1"/>
    <xf numFmtId="0" fontId="0" fillId="0" borderId="33" xfId="0" applyBorder="1"/>
    <xf numFmtId="0" fontId="0" fillId="0" borderId="34" xfId="0" applyBorder="1" applyAlignment="1">
      <alignment horizontal="center"/>
    </xf>
    <xf numFmtId="0" fontId="7" fillId="0" borderId="0" xfId="0" applyFont="1"/>
    <xf numFmtId="0" fontId="17" fillId="0" borderId="0" xfId="0" applyFont="1"/>
    <xf numFmtId="0" fontId="0" fillId="3" borderId="1" xfId="0" applyFill="1" applyBorder="1" applyAlignment="1">
      <alignment horizontal="center"/>
    </xf>
    <xf numFmtId="0" fontId="7" fillId="3" borderId="0" xfId="0" applyFont="1" applyFill="1" applyAlignment="1">
      <alignment horizontal="right"/>
    </xf>
    <xf numFmtId="0" fontId="7" fillId="3" borderId="1" xfId="0" applyFont="1" applyFill="1" applyBorder="1" applyAlignment="1">
      <alignment horizontal="right"/>
    </xf>
    <xf numFmtId="7" fontId="12" fillId="2" borderId="16" xfId="1" applyNumberFormat="1" applyFont="1" applyFill="1" applyBorder="1"/>
    <xf numFmtId="164" fontId="7" fillId="3" borderId="0" xfId="0" applyNumberFormat="1" applyFont="1" applyFill="1"/>
    <xf numFmtId="164" fontId="0" fillId="0" borderId="1" xfId="0" applyNumberFormat="1" applyBorder="1"/>
    <xf numFmtId="0" fontId="0" fillId="0" borderId="10" xfId="0" applyBorder="1" applyAlignment="1">
      <alignment horizontal="center"/>
    </xf>
    <xf numFmtId="1" fontId="0" fillId="0" borderId="10" xfId="0" applyNumberFormat="1" applyBorder="1"/>
    <xf numFmtId="166" fontId="0" fillId="0" borderId="7" xfId="0" applyNumberFormat="1" applyBorder="1" applyAlignment="1">
      <alignment horizontal="right"/>
    </xf>
    <xf numFmtId="168" fontId="0" fillId="0" borderId="1" xfId="0" applyNumberFormat="1" applyBorder="1"/>
    <xf numFmtId="166" fontId="0" fillId="0" borderId="8" xfId="0" applyNumberFormat="1" applyBorder="1" applyAlignment="1">
      <alignment horizontal="right"/>
    </xf>
    <xf numFmtId="7" fontId="0" fillId="0" borderId="0" xfId="3" applyNumberFormat="1" applyFont="1" applyFill="1"/>
    <xf numFmtId="171" fontId="0" fillId="0" borderId="0" xfId="0" applyNumberFormat="1"/>
    <xf numFmtId="44" fontId="0" fillId="0" borderId="0" xfId="1" applyFont="1" applyBorder="1"/>
    <xf numFmtId="10" fontId="0" fillId="0" borderId="0" xfId="2" applyNumberFormat="1" applyFont="1" applyBorder="1"/>
    <xf numFmtId="0" fontId="0" fillId="0" borderId="8" xfId="0" applyBorder="1" applyAlignment="1">
      <alignment horizontal="right"/>
    </xf>
    <xf numFmtId="0" fontId="0" fillId="0" borderId="12" xfId="0" applyBorder="1" applyAlignment="1">
      <alignment horizontal="right"/>
    </xf>
    <xf numFmtId="0" fontId="0" fillId="0" borderId="7" xfId="0" applyBorder="1" applyAlignment="1">
      <alignment horizontal="right"/>
    </xf>
    <xf numFmtId="0" fontId="20" fillId="12" borderId="0" xfId="0" applyFont="1" applyFill="1"/>
    <xf numFmtId="2" fontId="7" fillId="0" borderId="0" xfId="0" applyNumberFormat="1" applyFont="1"/>
    <xf numFmtId="169" fontId="0" fillId="0" borderId="0" xfId="2" applyNumberFormat="1" applyFont="1" applyFill="1" applyBorder="1" applyAlignment="1">
      <alignment horizontal="center"/>
    </xf>
    <xf numFmtId="7" fontId="7" fillId="0" borderId="0" xfId="1" applyNumberFormat="1" applyFont="1" applyFill="1" applyBorder="1"/>
    <xf numFmtId="0" fontId="21" fillId="12" borderId="0" xfId="0" applyFont="1" applyFill="1"/>
    <xf numFmtId="0" fontId="14" fillId="14" borderId="20" xfId="0" applyFont="1" applyFill="1" applyBorder="1" applyAlignment="1">
      <alignment horizontal="center" wrapText="1"/>
    </xf>
    <xf numFmtId="0" fontId="0" fillId="0" borderId="14" xfId="0" applyBorder="1" applyAlignment="1">
      <alignment horizontal="right"/>
    </xf>
    <xf numFmtId="0" fontId="0" fillId="0" borderId="36" xfId="0" applyBorder="1"/>
    <xf numFmtId="0" fontId="15" fillId="15" borderId="37" xfId="0" applyFont="1" applyFill="1" applyBorder="1" applyAlignment="1">
      <alignment horizontal="center"/>
    </xf>
    <xf numFmtId="0" fontId="15" fillId="15" borderId="38" xfId="0" applyFont="1" applyFill="1" applyBorder="1" applyAlignment="1">
      <alignment horizontal="center"/>
    </xf>
    <xf numFmtId="0" fontId="15" fillId="15" borderId="40" xfId="0" applyFont="1" applyFill="1" applyBorder="1" applyAlignment="1">
      <alignment horizontal="center"/>
    </xf>
    <xf numFmtId="164" fontId="14" fillId="14" borderId="0" xfId="0" applyNumberFormat="1" applyFont="1" applyFill="1" applyAlignment="1">
      <alignment horizontal="center"/>
    </xf>
    <xf numFmtId="0" fontId="0" fillId="0" borderId="41" xfId="0" applyBorder="1"/>
    <xf numFmtId="0" fontId="14" fillId="14" borderId="39" xfId="0" applyFont="1" applyFill="1" applyBorder="1" applyAlignment="1">
      <alignment horizontal="center" wrapText="1"/>
    </xf>
    <xf numFmtId="0" fontId="0" fillId="0" borderId="0" xfId="0" applyAlignment="1">
      <alignment horizontal="left" vertical="center"/>
    </xf>
    <xf numFmtId="0" fontId="0" fillId="12" borderId="0" xfId="0" applyFill="1"/>
    <xf numFmtId="0" fontId="25" fillId="12" borderId="0" xfId="0" applyFont="1" applyFill="1"/>
    <xf numFmtId="0" fontId="25" fillId="0" borderId="0" xfId="0" applyFont="1"/>
    <xf numFmtId="0" fontId="0" fillId="0" borderId="4" xfId="0" applyBorder="1" applyAlignment="1">
      <alignment horizontal="center" vertical="center"/>
    </xf>
    <xf numFmtId="0" fontId="0" fillId="0" borderId="0" xfId="0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0" xfId="0" applyAlignment="1">
      <alignment horizontal="right" vertical="center"/>
    </xf>
    <xf numFmtId="0" fontId="0" fillId="0" borderId="35" xfId="0" applyBorder="1" applyAlignment="1">
      <alignment horizontal="center"/>
    </xf>
    <xf numFmtId="0" fontId="30" fillId="17" borderId="43" xfId="5" applyFont="1" applyFill="1" applyAlignment="1">
      <alignment horizontal="center" vertical="center"/>
    </xf>
    <xf numFmtId="0" fontId="0" fillId="0" borderId="35" xfId="0" applyBorder="1" applyAlignment="1">
      <alignment horizontal="center" vertical="center" wrapText="1"/>
    </xf>
    <xf numFmtId="0" fontId="30" fillId="0" borderId="0" xfId="5" applyFont="1" applyBorder="1" applyAlignment="1">
      <alignment horizontal="center"/>
    </xf>
    <xf numFmtId="0" fontId="30" fillId="0" borderId="0" xfId="5" applyFont="1" applyBorder="1" applyAlignment="1">
      <alignment horizontal="center" vertical="center"/>
    </xf>
    <xf numFmtId="0" fontId="28" fillId="0" borderId="44" xfId="6" applyAlignment="1">
      <alignment horizontal="center" vertical="center"/>
    </xf>
    <xf numFmtId="0" fontId="30" fillId="0" borderId="35" xfId="5" applyFont="1" applyBorder="1" applyAlignment="1">
      <alignment horizontal="center" vertical="center"/>
    </xf>
    <xf numFmtId="0" fontId="29" fillId="16" borderId="0" xfId="7" applyAlignment="1">
      <alignment horizontal="center" vertical="center"/>
    </xf>
    <xf numFmtId="0" fontId="29" fillId="0" borderId="0" xfId="7" applyFill="1" applyAlignment="1">
      <alignment horizontal="center" vertical="center"/>
    </xf>
    <xf numFmtId="6" fontId="0" fillId="0" borderId="35" xfId="0" applyNumberFormat="1" applyBorder="1" applyAlignment="1">
      <alignment horizontal="center" vertical="center"/>
    </xf>
    <xf numFmtId="6" fontId="28" fillId="0" borderId="44" xfId="6" applyNumberFormat="1" applyAlignment="1">
      <alignment horizontal="center" vertical="center"/>
    </xf>
    <xf numFmtId="0" fontId="26" fillId="0" borderId="0" xfId="4" applyBorder="1" applyAlignment="1">
      <alignment horizontal="center" vertical="center"/>
    </xf>
    <xf numFmtId="0" fontId="26" fillId="0" borderId="0" xfId="4" applyBorder="1" applyAlignment="1">
      <alignment vertical="center"/>
    </xf>
    <xf numFmtId="0" fontId="31" fillId="0" borderId="0" xfId="4" applyFont="1" applyBorder="1" applyAlignment="1">
      <alignment horizontal="center" vertical="center"/>
    </xf>
    <xf numFmtId="0" fontId="0" fillId="18" borderId="35" xfId="0" applyFill="1" applyBorder="1" applyAlignment="1">
      <alignment horizontal="center" vertical="center"/>
    </xf>
    <xf numFmtId="2" fontId="0" fillId="18" borderId="35" xfId="0" applyNumberFormat="1" applyFill="1" applyBorder="1" applyAlignment="1">
      <alignment horizontal="center" vertical="center"/>
    </xf>
    <xf numFmtId="0" fontId="2" fillId="0" borderId="35" xfId="0" applyFont="1" applyBorder="1" applyAlignment="1">
      <alignment horizontal="center" vertical="center"/>
    </xf>
    <xf numFmtId="0" fontId="2" fillId="4" borderId="35" xfId="0" applyFont="1" applyFill="1" applyBorder="1" applyAlignment="1">
      <alignment horizontal="center" vertical="center"/>
    </xf>
    <xf numFmtId="0" fontId="29" fillId="18" borderId="35" xfId="7" applyFill="1" applyBorder="1" applyAlignment="1">
      <alignment horizontal="center" vertical="center"/>
    </xf>
    <xf numFmtId="0" fontId="32" fillId="19" borderId="35" xfId="8" applyBorder="1" applyAlignment="1">
      <alignment horizontal="center" vertical="center"/>
    </xf>
    <xf numFmtId="0" fontId="28" fillId="0" borderId="0" xfId="6" applyBorder="1" applyAlignment="1">
      <alignment horizontal="center" vertical="center"/>
    </xf>
    <xf numFmtId="0" fontId="30" fillId="17" borderId="35" xfId="5" applyFont="1" applyFill="1" applyBorder="1" applyAlignment="1">
      <alignment horizontal="center" vertical="center"/>
    </xf>
    <xf numFmtId="8" fontId="28" fillId="0" borderId="44" xfId="6" applyNumberFormat="1" applyAlignment="1">
      <alignment horizontal="center" vertical="center"/>
    </xf>
    <xf numFmtId="164" fontId="8" fillId="0" borderId="0" xfId="0" applyNumberFormat="1" applyFont="1" applyAlignment="1">
      <alignment horizontal="center"/>
    </xf>
    <xf numFmtId="0" fontId="27" fillId="0" borderId="45" xfId="5" applyBorder="1" applyAlignment="1">
      <alignment horizontal="center"/>
    </xf>
    <xf numFmtId="7" fontId="3" fillId="0" borderId="0" xfId="0" applyNumberFormat="1" applyFont="1" applyAlignment="1">
      <alignment horizontal="right"/>
    </xf>
    <xf numFmtId="166" fontId="14" fillId="0" borderId="0" xfId="0" applyNumberFormat="1" applyFont="1"/>
    <xf numFmtId="167" fontId="5" fillId="0" borderId="0" xfId="0" applyNumberFormat="1" applyFont="1"/>
    <xf numFmtId="7" fontId="8" fillId="0" borderId="0" xfId="1" applyNumberFormat="1" applyFont="1" applyFill="1" applyBorder="1"/>
    <xf numFmtId="0" fontId="7" fillId="0" borderId="35" xfId="0" applyFont="1" applyBorder="1" applyAlignment="1">
      <alignment horizontal="center" vertical="center"/>
    </xf>
    <xf numFmtId="2" fontId="0" fillId="3" borderId="0" xfId="0" applyNumberFormat="1" applyFill="1"/>
    <xf numFmtId="171" fontId="0" fillId="0" borderId="0" xfId="3" applyNumberFormat="1" applyFont="1" applyFill="1" applyBorder="1" applyAlignment="1">
      <alignment horizontal="center" vertical="center"/>
    </xf>
    <xf numFmtId="0" fontId="36" fillId="17" borderId="43" xfId="5" applyFont="1" applyFill="1" applyAlignment="1">
      <alignment horizontal="center" vertical="center"/>
    </xf>
    <xf numFmtId="0" fontId="31" fillId="0" borderId="0" xfId="4" applyFont="1" applyBorder="1" applyAlignment="1">
      <alignment horizontal="center" vertical="center" wrapText="1"/>
    </xf>
    <xf numFmtId="0" fontId="11" fillId="0" borderId="35" xfId="0" applyFont="1" applyBorder="1" applyAlignment="1">
      <alignment horizontal="center" vertical="center"/>
    </xf>
    <xf numFmtId="5" fontId="5" fillId="0" borderId="0" xfId="0" applyNumberFormat="1" applyFont="1" applyAlignment="1">
      <alignment horizontal="right"/>
    </xf>
    <xf numFmtId="7" fontId="3" fillId="0" borderId="13" xfId="0" applyNumberFormat="1" applyFont="1" applyBorder="1" applyAlignment="1">
      <alignment horizontal="left"/>
    </xf>
    <xf numFmtId="7" fontId="3" fillId="0" borderId="0" xfId="0" applyNumberFormat="1" applyFont="1" applyAlignment="1">
      <alignment horizontal="left"/>
    </xf>
    <xf numFmtId="0" fontId="37" fillId="0" borderId="0" xfId="0" applyFont="1" applyAlignment="1">
      <alignment vertical="center" wrapText="1"/>
    </xf>
    <xf numFmtId="0" fontId="0" fillId="5" borderId="11" xfId="0" applyFill="1" applyBorder="1"/>
    <xf numFmtId="0" fontId="0" fillId="5" borderId="5" xfId="0" applyFill="1" applyBorder="1"/>
    <xf numFmtId="0" fontId="0" fillId="5" borderId="12" xfId="0" applyFill="1" applyBorder="1"/>
    <xf numFmtId="0" fontId="0" fillId="5" borderId="3" xfId="0" applyFill="1" applyBorder="1" applyAlignment="1">
      <alignment horizontal="right"/>
    </xf>
    <xf numFmtId="0" fontId="0" fillId="2" borderId="8" xfId="0" applyFill="1" applyBorder="1" applyAlignment="1">
      <alignment horizontal="right"/>
    </xf>
    <xf numFmtId="2" fontId="8" fillId="0" borderId="6" xfId="0" applyNumberFormat="1" applyFont="1" applyBorder="1"/>
    <xf numFmtId="7" fontId="8" fillId="2" borderId="7" xfId="0" applyNumberFormat="1" applyFont="1" applyFill="1" applyBorder="1"/>
    <xf numFmtId="0" fontId="18" fillId="0" borderId="5" xfId="0" applyFont="1" applyBorder="1"/>
    <xf numFmtId="0" fontId="0" fillId="13" borderId="0" xfId="0" applyFill="1"/>
    <xf numFmtId="7" fontId="11" fillId="0" borderId="0" xfId="0" applyNumberFormat="1" applyFont="1" applyAlignment="1">
      <alignment horizontal="right"/>
    </xf>
    <xf numFmtId="166" fontId="5" fillId="0" borderId="1" xfId="0" applyNumberFormat="1" applyFont="1" applyBorder="1"/>
    <xf numFmtId="7" fontId="11" fillId="0" borderId="1" xfId="0" applyNumberFormat="1" applyFont="1" applyBorder="1" applyAlignment="1">
      <alignment horizontal="right"/>
    </xf>
    <xf numFmtId="2" fontId="0" fillId="8" borderId="0" xfId="0" applyNumberFormat="1" applyFill="1"/>
    <xf numFmtId="2" fontId="0" fillId="20" borderId="1" xfId="0" applyNumberFormat="1" applyFill="1" applyBorder="1"/>
    <xf numFmtId="2" fontId="0" fillId="0" borderId="35" xfId="0" applyNumberFormat="1" applyBorder="1" applyAlignment="1">
      <alignment horizontal="center" vertical="center"/>
    </xf>
    <xf numFmtId="2" fontId="29" fillId="16" borderId="0" xfId="7" applyNumberFormat="1" applyAlignment="1">
      <alignment horizontal="center" vertical="center"/>
    </xf>
    <xf numFmtId="2" fontId="28" fillId="0" borderId="44" xfId="6" applyNumberFormat="1" applyAlignment="1">
      <alignment horizontal="center" vertical="center"/>
    </xf>
    <xf numFmtId="0" fontId="25" fillId="12" borderId="35" xfId="0" applyFont="1" applyFill="1" applyBorder="1" applyAlignment="1">
      <alignment horizontal="center" vertical="center"/>
    </xf>
    <xf numFmtId="0" fontId="27" fillId="0" borderId="0" xfId="4" applyFont="1" applyBorder="1" applyAlignment="1">
      <alignment horizontal="center" vertical="center" wrapText="1"/>
    </xf>
    <xf numFmtId="0" fontId="0" fillId="0" borderId="9" xfId="0" applyBorder="1"/>
    <xf numFmtId="0" fontId="32" fillId="19" borderId="35" xfId="8" applyBorder="1" applyAlignment="1">
      <alignment horizontal="center" vertical="center" wrapText="1"/>
    </xf>
    <xf numFmtId="0" fontId="26" fillId="0" borderId="0" xfId="4" applyBorder="1" applyAlignment="1">
      <alignment horizontal="center" vertical="center" wrapText="1"/>
    </xf>
    <xf numFmtId="9" fontId="0" fillId="0" borderId="0" xfId="0" applyNumberFormat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0" borderId="9" xfId="0" applyBorder="1" applyAlignment="1">
      <alignment horizontal="center" vertical="center" wrapText="1"/>
    </xf>
    <xf numFmtId="0" fontId="19" fillId="0" borderId="35" xfId="0" applyFont="1" applyBorder="1" applyAlignment="1">
      <alignment horizontal="center" vertical="center" wrapText="1"/>
    </xf>
    <xf numFmtId="167" fontId="8" fillId="0" borderId="0" xfId="0" applyNumberFormat="1" applyFont="1"/>
    <xf numFmtId="2" fontId="8" fillId="0" borderId="11" xfId="0" applyNumberFormat="1" applyFont="1" applyBorder="1"/>
    <xf numFmtId="167" fontId="8" fillId="0" borderId="5" xfId="0" applyNumberFormat="1" applyFont="1" applyBorder="1"/>
    <xf numFmtId="7" fontId="8" fillId="2" borderId="12" xfId="0" applyNumberFormat="1" applyFont="1" applyFill="1" applyBorder="1"/>
    <xf numFmtId="0" fontId="0" fillId="0" borderId="48" xfId="0" applyBorder="1"/>
    <xf numFmtId="165" fontId="0" fillId="0" borderId="49" xfId="0" applyNumberFormat="1" applyBorder="1"/>
    <xf numFmtId="0" fontId="0" fillId="0" borderId="49" xfId="0" applyBorder="1"/>
    <xf numFmtId="0" fontId="0" fillId="0" borderId="51" xfId="0" applyBorder="1"/>
    <xf numFmtId="0" fontId="0" fillId="0" borderId="52" xfId="0" applyBorder="1" applyAlignment="1">
      <alignment horizontal="center"/>
    </xf>
    <xf numFmtId="0" fontId="0" fillId="0" borderId="53" xfId="0" applyBorder="1" applyAlignment="1">
      <alignment horizontal="right"/>
    </xf>
    <xf numFmtId="166" fontId="0" fillId="0" borderId="21" xfId="0" applyNumberFormat="1" applyBorder="1" applyAlignment="1">
      <alignment horizontal="center"/>
    </xf>
    <xf numFmtId="0" fontId="8" fillId="6" borderId="0" xfId="0" applyFont="1" applyFill="1" applyAlignment="1">
      <alignment horizontal="left" vertical="center"/>
    </xf>
    <xf numFmtId="0" fontId="0" fillId="6" borderId="0" xfId="0" applyFill="1" applyAlignment="1">
      <alignment horizontal="left" vertical="center"/>
    </xf>
    <xf numFmtId="164" fontId="8" fillId="3" borderId="0" xfId="0" applyNumberFormat="1" applyFont="1" applyFill="1" applyAlignment="1">
      <alignment horizontal="center"/>
    </xf>
    <xf numFmtId="166" fontId="8" fillId="0" borderId="22" xfId="0" applyNumberFormat="1" applyFont="1" applyBorder="1"/>
    <xf numFmtId="0" fontId="8" fillId="6" borderId="0" xfId="0" applyFont="1" applyFill="1" applyAlignment="1">
      <alignment horizontal="left"/>
    </xf>
    <xf numFmtId="0" fontId="0" fillId="0" borderId="22" xfId="0" applyBorder="1"/>
    <xf numFmtId="5" fontId="5" fillId="0" borderId="41" xfId="0" applyNumberFormat="1" applyFont="1" applyBorder="1" applyAlignment="1">
      <alignment horizontal="right"/>
    </xf>
    <xf numFmtId="7" fontId="3" fillId="0" borderId="41" xfId="0" applyNumberFormat="1" applyFont="1" applyBorder="1" applyAlignment="1">
      <alignment horizontal="left"/>
    </xf>
    <xf numFmtId="0" fontId="0" fillId="0" borderId="34" xfId="0" applyBorder="1"/>
    <xf numFmtId="0" fontId="7" fillId="0" borderId="1" xfId="0" applyFont="1" applyBorder="1" applyAlignment="1">
      <alignment horizontal="right"/>
    </xf>
    <xf numFmtId="0" fontId="7" fillId="0" borderId="0" xfId="0" applyFont="1" applyAlignment="1">
      <alignment horizontal="center" vertical="center"/>
    </xf>
    <xf numFmtId="0" fontId="0" fillId="0" borderId="6" xfId="0" applyBorder="1" applyAlignment="1">
      <alignment horizontal="left" vertical="top"/>
    </xf>
    <xf numFmtId="0" fontId="4" fillId="0" borderId="49" xfId="0" applyFont="1" applyBorder="1"/>
    <xf numFmtId="0" fontId="34" fillId="2" borderId="60" xfId="0" applyFont="1" applyFill="1" applyBorder="1" applyAlignment="1">
      <alignment horizontal="center" vertical="center"/>
    </xf>
    <xf numFmtId="0" fontId="0" fillId="0" borderId="0" xfId="0" applyAlignment="1">
      <alignment vertical="center"/>
    </xf>
    <xf numFmtId="0" fontId="0" fillId="0" borderId="41" xfId="0" applyBorder="1" applyAlignment="1">
      <alignment vertical="center"/>
    </xf>
    <xf numFmtId="7" fontId="8" fillId="0" borderId="41" xfId="1" applyNumberFormat="1" applyFont="1" applyFill="1" applyBorder="1"/>
    <xf numFmtId="166" fontId="8" fillId="0" borderId="34" xfId="0" applyNumberFormat="1" applyFont="1" applyBorder="1"/>
    <xf numFmtId="0" fontId="6" fillId="0" borderId="49" xfId="0" applyFont="1" applyBorder="1" applyAlignment="1">
      <alignment horizontal="right"/>
    </xf>
    <xf numFmtId="8" fontId="5" fillId="0" borderId="49" xfId="0" applyNumberFormat="1" applyFont="1" applyBorder="1"/>
    <xf numFmtId="0" fontId="5" fillId="0" borderId="49" xfId="0" applyFont="1" applyBorder="1"/>
    <xf numFmtId="0" fontId="0" fillId="6" borderId="0" xfId="0" applyFill="1" applyAlignment="1">
      <alignment horizontal="left"/>
    </xf>
    <xf numFmtId="164" fontId="0" fillId="0" borderId="0" xfId="0" applyNumberFormat="1" applyAlignment="1">
      <alignment horizontal="center" vertical="center"/>
    </xf>
    <xf numFmtId="5" fontId="8" fillId="0" borderId="41" xfId="1" applyNumberFormat="1" applyFont="1" applyFill="1" applyBorder="1"/>
    <xf numFmtId="0" fontId="33" fillId="0" borderId="4" xfId="0" applyFont="1" applyBorder="1" applyAlignment="1">
      <alignment horizontal="center" vertical="center"/>
    </xf>
    <xf numFmtId="0" fontId="33" fillId="0" borderId="10" xfId="0" applyFont="1" applyBorder="1" applyAlignment="1">
      <alignment horizontal="center" vertical="center"/>
    </xf>
    <xf numFmtId="0" fontId="33" fillId="0" borderId="9" xfId="0" applyFont="1" applyBorder="1" applyAlignment="1">
      <alignment horizontal="center" vertical="center"/>
    </xf>
    <xf numFmtId="171" fontId="0" fillId="22" borderId="54" xfId="3" applyNumberFormat="1" applyFont="1" applyFill="1" applyBorder="1" applyAlignment="1">
      <alignment horizontal="center" vertical="center"/>
    </xf>
    <xf numFmtId="171" fontId="0" fillId="22" borderId="55" xfId="3" applyNumberFormat="1" applyFont="1" applyFill="1" applyBorder="1" applyAlignment="1">
      <alignment horizontal="center" vertical="center"/>
    </xf>
    <xf numFmtId="0" fontId="0" fillId="0" borderId="35" xfId="0" applyBorder="1" applyAlignment="1">
      <alignment horizontal="center" vertical="center"/>
    </xf>
    <xf numFmtId="0" fontId="0" fillId="0" borderId="56" xfId="0" applyBorder="1" applyAlignment="1">
      <alignment horizontal="center" vertical="center"/>
    </xf>
    <xf numFmtId="0" fontId="35" fillId="7" borderId="0" xfId="0" applyFont="1" applyFill="1" applyAlignment="1">
      <alignment horizontal="center" vertical="center"/>
    </xf>
    <xf numFmtId="0" fontId="37" fillId="21" borderId="50" xfId="0" applyFont="1" applyFill="1" applyBorder="1" applyAlignment="1">
      <alignment horizontal="center" vertical="center" wrapText="1"/>
    </xf>
    <xf numFmtId="0" fontId="37" fillId="21" borderId="57" xfId="0" applyFont="1" applyFill="1" applyBorder="1" applyAlignment="1">
      <alignment horizontal="center" vertical="center" wrapText="1"/>
    </xf>
    <xf numFmtId="0" fontId="37" fillId="21" borderId="58" xfId="0" applyFont="1" applyFill="1" applyBorder="1" applyAlignment="1">
      <alignment horizontal="center" vertical="center" wrapText="1"/>
    </xf>
    <xf numFmtId="0" fontId="37" fillId="21" borderId="59" xfId="0" applyFont="1" applyFill="1" applyBorder="1" applyAlignment="1">
      <alignment horizontal="center" vertical="center" wrapText="1"/>
    </xf>
    <xf numFmtId="0" fontId="38" fillId="0" borderId="57" xfId="0" applyFont="1" applyBorder="1" applyAlignment="1">
      <alignment horizontal="center" vertical="center"/>
    </xf>
    <xf numFmtId="0" fontId="38" fillId="0" borderId="58" xfId="0" applyFont="1" applyBorder="1" applyAlignment="1">
      <alignment horizontal="center" vertical="center"/>
    </xf>
    <xf numFmtId="0" fontId="38" fillId="0" borderId="59" xfId="0" applyFont="1" applyBorder="1" applyAlignment="1">
      <alignment horizontal="center" vertical="center"/>
    </xf>
    <xf numFmtId="0" fontId="39" fillId="0" borderId="35" xfId="0" applyFont="1" applyBorder="1" applyAlignment="1">
      <alignment horizontal="center" vertical="center"/>
    </xf>
    <xf numFmtId="0" fontId="25" fillId="0" borderId="35" xfId="0" applyFont="1" applyBorder="1" applyAlignment="1">
      <alignment horizontal="center" vertical="center"/>
    </xf>
    <xf numFmtId="6" fontId="0" fillId="0" borderId="4" xfId="0" applyNumberFormat="1" applyBorder="1" applyAlignment="1">
      <alignment horizontal="center" vertical="center" wrapText="1"/>
    </xf>
    <xf numFmtId="6" fontId="0" fillId="0" borderId="10" xfId="0" applyNumberFormat="1" applyBorder="1" applyAlignment="1">
      <alignment horizontal="center" vertical="center" wrapText="1"/>
    </xf>
    <xf numFmtId="6" fontId="0" fillId="0" borderId="9" xfId="0" applyNumberFormat="1" applyBorder="1" applyAlignment="1">
      <alignment horizontal="center" vertical="center" wrapText="1"/>
    </xf>
    <xf numFmtId="0" fontId="0" fillId="12" borderId="35" xfId="0" applyFill="1" applyBorder="1" applyAlignment="1">
      <alignment horizontal="center" vertical="center" wrapText="1"/>
    </xf>
    <xf numFmtId="0" fontId="0" fillId="0" borderId="46" xfId="0" applyBorder="1" applyAlignment="1">
      <alignment horizontal="left" vertical="top" wrapText="1"/>
    </xf>
    <xf numFmtId="0" fontId="0" fillId="0" borderId="47" xfId="0" applyBorder="1" applyAlignment="1">
      <alignment horizontal="left" vertical="top" wrapText="1"/>
    </xf>
    <xf numFmtId="0" fontId="0" fillId="0" borderId="6" xfId="0" applyBorder="1" applyAlignment="1">
      <alignment horizontal="left" vertical="top" wrapText="1"/>
    </xf>
    <xf numFmtId="0" fontId="0" fillId="0" borderId="0" xfId="0" applyAlignment="1">
      <alignment horizontal="left" vertical="top" wrapText="1"/>
    </xf>
    <xf numFmtId="0" fontId="0" fillId="0" borderId="3" xfId="0" applyBorder="1" applyAlignment="1">
      <alignment horizontal="left" vertical="top" wrapText="1"/>
    </xf>
    <xf numFmtId="0" fontId="0" fillId="0" borderId="1" xfId="0" applyBorder="1" applyAlignment="1">
      <alignment horizontal="left" vertical="top" wrapText="1"/>
    </xf>
    <xf numFmtId="0" fontId="0" fillId="0" borderId="35" xfId="0" applyBorder="1" applyAlignment="1">
      <alignment horizontal="center"/>
    </xf>
    <xf numFmtId="6" fontId="0" fillId="0" borderId="35" xfId="0" applyNumberFormat="1" applyBorder="1" applyAlignment="1">
      <alignment horizontal="center"/>
    </xf>
    <xf numFmtId="0" fontId="0" fillId="0" borderId="35" xfId="0" applyBorder="1" applyAlignment="1">
      <alignment horizontal="center" vertical="center" wrapText="1"/>
    </xf>
    <xf numFmtId="0" fontId="19" fillId="0" borderId="4" xfId="0" applyFont="1" applyBorder="1" applyAlignment="1">
      <alignment horizontal="center" vertical="center"/>
    </xf>
    <xf numFmtId="0" fontId="19" fillId="0" borderId="9" xfId="0" applyFont="1" applyBorder="1" applyAlignment="1">
      <alignment horizontal="center" vertical="center"/>
    </xf>
    <xf numFmtId="0" fontId="0" fillId="0" borderId="4" xfId="0" applyBorder="1" applyAlignment="1">
      <alignment horizontal="center" vertical="center"/>
    </xf>
    <xf numFmtId="0" fontId="0" fillId="0" borderId="9" xfId="0" applyBorder="1" applyAlignment="1">
      <alignment horizontal="center" vertical="center"/>
    </xf>
    <xf numFmtId="0" fontId="0" fillId="0" borderId="10" xfId="0" applyBorder="1" applyAlignment="1">
      <alignment horizontal="center" vertical="center"/>
    </xf>
    <xf numFmtId="0" fontId="0" fillId="0" borderId="4" xfId="0" applyBorder="1" applyAlignment="1">
      <alignment horizontal="center" vertical="center" wrapText="1"/>
    </xf>
    <xf numFmtId="0" fontId="0" fillId="0" borderId="10" xfId="0" applyBorder="1" applyAlignment="1">
      <alignment horizontal="center" vertical="center" wrapText="1"/>
    </xf>
    <xf numFmtId="0" fontId="0" fillId="0" borderId="9" xfId="0" applyBorder="1" applyAlignment="1">
      <alignment horizontal="center" vertical="center" wrapText="1"/>
    </xf>
    <xf numFmtId="0" fontId="25" fillId="12" borderId="35" xfId="0" applyFont="1" applyFill="1" applyBorder="1" applyAlignment="1">
      <alignment horizontal="center" vertical="center"/>
    </xf>
    <xf numFmtId="0" fontId="25" fillId="12" borderId="4" xfId="0" applyFont="1" applyFill="1" applyBorder="1" applyAlignment="1">
      <alignment horizontal="center" vertical="center"/>
    </xf>
    <xf numFmtId="0" fontId="25" fillId="12" borderId="9" xfId="0" applyFont="1" applyFill="1" applyBorder="1" applyAlignment="1">
      <alignment horizontal="center" vertical="center"/>
    </xf>
  </cellXfs>
  <cellStyles count="9">
    <cellStyle name="Comma" xfId="3" builtinId="3"/>
    <cellStyle name="Currency" xfId="1" builtinId="4"/>
    <cellStyle name="Good" xfId="7" builtinId="26"/>
    <cellStyle name="Heading 1" xfId="4" builtinId="16"/>
    <cellStyle name="Heading 2" xfId="5" builtinId="17"/>
    <cellStyle name="Heading 3" xfId="6" builtinId="18"/>
    <cellStyle name="Neutral" xfId="8" builtinId="28"/>
    <cellStyle name="Normal" xfId="0" builtinId="0"/>
    <cellStyle name="Percent" xfId="2" builtinId="5"/>
  </cellStyles>
  <dxfs count="0"/>
  <tableStyles count="0" defaultTableStyle="TableStyleMedium2" defaultPivotStyle="PivotStyleLight16"/>
  <colors>
    <mruColors>
      <color rgb="FF006A30"/>
      <color rgb="FFFFCCFF"/>
      <color rgb="FFDBC7DA"/>
      <color rgb="FFC2A2C0"/>
      <color rgb="FF57D3FF"/>
      <color rgb="FFFFFF99"/>
      <color rgb="FFFDF0E9"/>
      <color rgb="FF63E402"/>
      <color rgb="FF009ED6"/>
      <color rgb="FFFFFFCC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12" Type="http://schemas.openxmlformats.org/officeDocument/2006/relationships/customXml" Target="../customXml/item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11" Type="http://schemas.openxmlformats.org/officeDocument/2006/relationships/customXml" Target="../customXml/item2.xml"/><Relationship Id="rId5" Type="http://schemas.openxmlformats.org/officeDocument/2006/relationships/worksheet" Target="worksheets/sheet5.xml"/><Relationship Id="rId10" Type="http://schemas.openxmlformats.org/officeDocument/2006/relationships/customXml" Target="../customXml/item1.xml"/><Relationship Id="rId4" Type="http://schemas.openxmlformats.org/officeDocument/2006/relationships/worksheet" Target="worksheets/sheet4.xml"/><Relationship Id="rId9" Type="http://schemas.openxmlformats.org/officeDocument/2006/relationships/calcChain" Target="calcChain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15</xdr:col>
      <xdr:colOff>573179</xdr:colOff>
      <xdr:row>2</xdr:row>
      <xdr:rowOff>9525</xdr:rowOff>
    </xdr:from>
    <xdr:to>
      <xdr:col>30</xdr:col>
      <xdr:colOff>445432</xdr:colOff>
      <xdr:row>6</xdr:row>
      <xdr:rowOff>0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206F8C9C-21FC-4134-89F1-52BFE10BF903}"/>
            </a:ext>
          </a:extLst>
        </xdr:cNvPr>
        <xdr:cNvSpPr txBox="1"/>
      </xdr:nvSpPr>
      <xdr:spPr>
        <a:xfrm>
          <a:off x="12222254" y="504825"/>
          <a:ext cx="8054228" cy="771525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marL="0" marR="0" lvl="0" indent="0" defTabSz="914400" eaLnBrk="1" fontAlgn="auto" latinLnBrk="0" hangingPunct="1">
            <a:lnSpc>
              <a:spcPct val="100000"/>
            </a:lnSpc>
            <a:spcBef>
              <a:spcPts val="0"/>
            </a:spcBef>
            <a:spcAft>
              <a:spcPts val="0"/>
            </a:spcAft>
            <a:buClrTx/>
            <a:buSzTx/>
            <a:buFontTx/>
            <a:buNone/>
            <a:tabLst/>
            <a:defRPr/>
          </a:pPr>
          <a:r>
            <a:rPr lang="en-US" sz="14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Added</a:t>
          </a:r>
          <a:r>
            <a:rPr lang="en-US" sz="1400" baseline="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 quantities   and   to get proper estimate on range of time and price.</a:t>
          </a:r>
          <a:endParaRPr lang="en-US" sz="1400">
            <a:solidFill>
              <a:srgbClr val="7030A0"/>
            </a:solidFill>
            <a:effectLst/>
          </a:endParaRPr>
        </a:p>
        <a:p>
          <a:r>
            <a:rPr lang="en-US" sz="1400">
              <a:solidFill>
                <a:srgbClr val="7030A0"/>
              </a:solidFill>
              <a:effectLst/>
              <a:latin typeface="+mn-lt"/>
              <a:ea typeface="+mn-ea"/>
              <a:cs typeface="+mn-cs"/>
            </a:rPr>
            <a:t>Includes</a:t>
          </a:r>
          <a:r>
            <a:rPr lang="en-US" sz="1100" kern="1200"/>
            <a:t>  (Add secondary</a:t>
          </a:r>
          <a:r>
            <a:rPr lang="en-US" sz="1100" kern="1200" baseline="0"/>
            <a:t> steps like AOI, Testing, Conformal Coating</a:t>
          </a:r>
          <a:r>
            <a:rPr lang="en-US" sz="1100" kern="1200"/>
            <a:t>)</a:t>
          </a:r>
        </a:p>
      </xdr:txBody>
    </xdr: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19</xdr:col>
      <xdr:colOff>20471</xdr:colOff>
      <xdr:row>1</xdr:row>
      <xdr:rowOff>12371</xdr:rowOff>
    </xdr:from>
    <xdr:to>
      <xdr:col>25</xdr:col>
      <xdr:colOff>866774</xdr:colOff>
      <xdr:row>5</xdr:row>
      <xdr:rowOff>371475</xdr:rowOff>
    </xdr:to>
    <xdr:sp macro="" textlink="">
      <xdr:nvSpPr>
        <xdr:cNvPr id="2" name="TextBox 1">
          <a:extLst>
            <a:ext uri="{FF2B5EF4-FFF2-40B4-BE49-F238E27FC236}">
              <a16:creationId xmlns:a16="http://schemas.microsoft.com/office/drawing/2014/main" id="{1821BD7D-2D68-4E86-A492-7C106CA880DA}"/>
            </a:ext>
          </a:extLst>
        </xdr:cNvPr>
        <xdr:cNvSpPr txBox="1"/>
      </xdr:nvSpPr>
      <xdr:spPr>
        <a:xfrm>
          <a:off x="12679196" y="212396"/>
          <a:ext cx="4846803" cy="1568779"/>
        </a:xfrm>
        <a:prstGeom prst="rect">
          <a:avLst/>
        </a:prstGeom>
        <a:solidFill>
          <a:schemeClr val="lt1"/>
        </a:solidFill>
        <a:ln w="9525" cmpd="sng">
          <a:solidFill>
            <a:schemeClr val="lt1">
              <a:shade val="50000"/>
            </a:schemeClr>
          </a:solidFill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endParaRPr lang="en-US" sz="1200" kern="1200">
            <a:solidFill>
              <a:srgbClr val="7030A0"/>
            </a:solidFill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comments" Target="../comments1.xml"/><Relationship Id="rId1" Type="http://schemas.openxmlformats.org/officeDocument/2006/relationships/vmlDrawing" Target="../drawings/vmlDrawing1.vml"/></Relationships>
</file>

<file path=xl/worksheets/_rels/sheet3.xml.rels><?xml version="1.0" encoding="UTF-8" standalone="yes"?>
<Relationships xmlns="http://schemas.openxmlformats.org/package/2006/relationships"><Relationship Id="rId3" Type="http://schemas.openxmlformats.org/officeDocument/2006/relationships/vmlDrawing" Target="../drawings/vmlDrawing2.vml"/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Relationship Id="rId4" Type="http://schemas.openxmlformats.org/officeDocument/2006/relationships/comments" Target="../comments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pageSetUpPr fitToPage="1"/>
  </sheetPr>
  <dimension ref="A1:AR91"/>
  <sheetViews>
    <sheetView tabSelected="1" topLeftCell="A9" zoomScaleNormal="100" workbookViewId="0">
      <selection activeCell="M21" sqref="M21"/>
    </sheetView>
  </sheetViews>
  <sheetFormatPr defaultRowHeight="15" x14ac:dyDescent="0.25"/>
  <cols>
    <col min="1" max="1" width="10.85546875" bestFit="1" customWidth="1"/>
    <col min="2" max="2" width="14.28515625" customWidth="1"/>
    <col min="3" max="3" width="13.42578125" bestFit="1" customWidth="1"/>
    <col min="4" max="5" width="9.28515625" customWidth="1"/>
    <col min="6" max="6" width="7" bestFit="1" customWidth="1"/>
    <col min="7" max="7" width="9" bestFit="1" customWidth="1"/>
    <col min="8" max="8" width="11" bestFit="1" customWidth="1"/>
    <col min="9" max="9" width="11.140625" customWidth="1"/>
    <col min="10" max="10" width="15.5703125" bestFit="1" customWidth="1"/>
    <col min="11" max="11" width="12.85546875" customWidth="1"/>
    <col min="12" max="12" width="13.42578125" customWidth="1"/>
    <col min="13" max="13" width="20.140625" bestFit="1" customWidth="1"/>
    <col min="14" max="16" width="8.7109375" customWidth="1"/>
    <col min="17" max="17" width="9.7109375" customWidth="1"/>
    <col min="18" max="18" width="12.42578125" customWidth="1"/>
    <col min="19" max="19" width="14.42578125" customWidth="1"/>
    <col min="20" max="20" width="15" bestFit="1" customWidth="1"/>
    <col min="21" max="21" width="12.7109375" customWidth="1"/>
    <col min="22" max="22" width="1.28515625" customWidth="1"/>
    <col min="23" max="23" width="9.7109375" style="3" customWidth="1"/>
    <col min="24" max="24" width="1.85546875" customWidth="1"/>
    <col min="25" max="25" width="9.7109375" customWidth="1"/>
    <col min="26" max="26" width="9.85546875" customWidth="1"/>
    <col min="27" max="29" width="1.7109375" customWidth="1"/>
    <col min="30" max="30" width="12.140625" customWidth="1"/>
    <col min="31" max="32" width="10.5703125" customWidth="1"/>
    <col min="33" max="33" width="11.140625" customWidth="1"/>
    <col min="35" max="35" width="1.85546875" customWidth="1"/>
    <col min="36" max="37" width="10.28515625" customWidth="1"/>
    <col min="38" max="38" width="10.5703125" customWidth="1"/>
    <col min="39" max="39" width="2.28515625" customWidth="1"/>
    <col min="40" max="40" width="9.7109375" bestFit="1" customWidth="1"/>
    <col min="41" max="41" width="8.140625" bestFit="1" customWidth="1"/>
    <col min="42" max="42" width="10.42578125" bestFit="1" customWidth="1"/>
    <col min="43" max="43" width="8.7109375" bestFit="1" customWidth="1"/>
  </cols>
  <sheetData>
    <row r="1" spans="1:44" ht="23.25" x14ac:dyDescent="0.25">
      <c r="A1" s="236"/>
      <c r="B1" s="238"/>
      <c r="C1" s="238"/>
      <c r="D1" s="238"/>
      <c r="E1" s="255"/>
      <c r="F1" s="238"/>
      <c r="G1" s="238"/>
      <c r="H1" s="276" t="s">
        <v>178</v>
      </c>
      <c r="I1" s="277"/>
      <c r="J1" s="277"/>
      <c r="K1" s="277"/>
      <c r="L1" s="278"/>
      <c r="N1" s="239"/>
      <c r="Q1" s="274" t="s">
        <v>28</v>
      </c>
      <c r="R1" s="274"/>
      <c r="S1" s="274"/>
      <c r="T1" s="274"/>
      <c r="AL1" s="65"/>
    </row>
    <row r="2" spans="1:44" ht="15.75" customHeight="1" x14ac:dyDescent="0.25">
      <c r="A2" s="240" t="s">
        <v>30</v>
      </c>
      <c r="B2" s="20"/>
      <c r="C2" s="5"/>
      <c r="D2" s="5"/>
      <c r="E2" s="5"/>
      <c r="F2" s="252" t="s">
        <v>2</v>
      </c>
      <c r="G2" s="8" t="s">
        <v>3</v>
      </c>
      <c r="H2" s="8" t="s">
        <v>1</v>
      </c>
      <c r="I2" s="8" t="s">
        <v>4</v>
      </c>
      <c r="J2" s="127" t="s">
        <v>0</v>
      </c>
      <c r="K2" s="11" t="s">
        <v>8</v>
      </c>
      <c r="L2" s="8" t="s">
        <v>6</v>
      </c>
      <c r="M2" s="81" t="s">
        <v>5</v>
      </c>
      <c r="N2" s="241" t="s">
        <v>27</v>
      </c>
      <c r="Q2" s="161" t="s">
        <v>101</v>
      </c>
      <c r="R2" s="161"/>
      <c r="S2" s="160"/>
      <c r="T2" s="160"/>
      <c r="U2" s="160"/>
      <c r="V2" s="160"/>
      <c r="AL2" s="65"/>
    </row>
    <row r="3" spans="1:44" x14ac:dyDescent="0.25">
      <c r="A3" s="242">
        <f>L3/H3</f>
        <v>1.1910439735677085</v>
      </c>
      <c r="B3" s="243" t="str">
        <f>'larger kit calc, sec per part'!B11</f>
        <v>8514ML</v>
      </c>
      <c r="C3" s="244" t="str">
        <f>'larger kit calc, sec per part'!B12</f>
        <v xml:space="preserve">Jankel </v>
      </c>
      <c r="D3" s="244" t="str">
        <f>'larger kit calc, sec per part'!B13</f>
        <v>Tactical Occupant</v>
      </c>
      <c r="E3" s="244" t="str">
        <f>'larger kit calc, sec per part'!C11</f>
        <v>-</v>
      </c>
      <c r="F3" s="253">
        <f>'larger kit calc, sec per part'!F12</f>
        <v>500</v>
      </c>
      <c r="G3" s="164">
        <f>'larger kit calc, sec per part'!C19</f>
        <v>8</v>
      </c>
      <c r="H3" s="198">
        <f t="shared" ref="H3:H6" si="0">F3*G3</f>
        <v>4000</v>
      </c>
      <c r="I3" s="69">
        <f t="shared" ref="I3:I6" si="1">(J3*3600)/H3</f>
        <v>32.475000000000001</v>
      </c>
      <c r="J3" s="245">
        <f>Checklist!H56</f>
        <v>36.083333333333336</v>
      </c>
      <c r="K3" s="49">
        <f>Checklist!H75</f>
        <v>96.662817551963045</v>
      </c>
      <c r="L3" s="50">
        <f>Checklist!H68</f>
        <v>4764.1758942708339</v>
      </c>
      <c r="M3" s="79">
        <f>L3/F3</f>
        <v>9.5283517885416682</v>
      </c>
      <c r="N3" s="246">
        <f t="shared" ref="N3:N6" si="2">J3/F3</f>
        <v>7.2166666666666671E-2</v>
      </c>
      <c r="AL3" s="65"/>
    </row>
    <row r="4" spans="1:44" x14ac:dyDescent="0.25">
      <c r="A4" s="242">
        <f t="shared" ref="A4:A6" si="3">L4/H4</f>
        <v>0.71669857077065546</v>
      </c>
      <c r="B4" s="243" t="str">
        <f>'larger kit calc, sec per part'!B21</f>
        <v>8514ML</v>
      </c>
      <c r="C4" s="244" t="str">
        <f>'larger kit calc, sec per part'!B22</f>
        <v xml:space="preserve">Jankel </v>
      </c>
      <c r="D4" s="244" t="str">
        <f>'larger kit calc, sec per part'!B23</f>
        <v>Tactical Occupant</v>
      </c>
      <c r="E4" s="244" t="str">
        <f>'larger kit calc, sec per part'!C21</f>
        <v>-</v>
      </c>
      <c r="F4" s="253">
        <f>'larger kit calc, sec per part'!F22</f>
        <v>1000</v>
      </c>
      <c r="G4" s="164">
        <f>'larger kit calc, sec per part'!C29</f>
        <v>8</v>
      </c>
      <c r="H4" s="198">
        <f t="shared" si="0"/>
        <v>8000</v>
      </c>
      <c r="I4" s="69">
        <f t="shared" si="1"/>
        <v>20.346968444253299</v>
      </c>
      <c r="J4" s="245">
        <f>Checklist!I56</f>
        <v>45.215485431673997</v>
      </c>
      <c r="K4" s="49">
        <f>Checklist!I75</f>
        <v>92.836260929546825</v>
      </c>
      <c r="L4" s="50">
        <f>Checklist!I68</f>
        <v>5733.5885661652437</v>
      </c>
      <c r="M4" s="79">
        <f t="shared" ref="M4:M6" si="4">L4/F4</f>
        <v>5.7335885661652437</v>
      </c>
      <c r="N4" s="246">
        <f t="shared" si="2"/>
        <v>4.5215485431673995E-2</v>
      </c>
      <c r="AL4" s="65"/>
    </row>
    <row r="5" spans="1:44" x14ac:dyDescent="0.25">
      <c r="A5" s="242">
        <f t="shared" si="3"/>
        <v>0.46339872469583682</v>
      </c>
      <c r="B5" s="243" t="str">
        <f>'larger kit calc, sec per part'!B31</f>
        <v>8514ML</v>
      </c>
      <c r="C5" s="244" t="str">
        <f>'larger kit calc, sec per part'!B32</f>
        <v xml:space="preserve">Jankel </v>
      </c>
      <c r="D5" s="244" t="str">
        <f>'larger kit calc, sec per part'!B33</f>
        <v>Tactical Occupant</v>
      </c>
      <c r="E5" s="244" t="str">
        <f>'larger kit calc, sec per part'!C31</f>
        <v>-</v>
      </c>
      <c r="F5" s="253">
        <f>'larger kit calc, sec per part'!F32</f>
        <v>5000</v>
      </c>
      <c r="G5" s="164">
        <f>'larger kit calc, sec per part'!C39</f>
        <v>8</v>
      </c>
      <c r="H5" s="198">
        <f t="shared" si="0"/>
        <v>40000</v>
      </c>
      <c r="I5" s="69">
        <f t="shared" si="1"/>
        <v>13.315567056705669</v>
      </c>
      <c r="J5" s="245">
        <f>Checklist!J56</f>
        <v>147.95074507450744</v>
      </c>
      <c r="K5" s="49">
        <f>Checklist!J75</f>
        <v>91.72252079362724</v>
      </c>
      <c r="L5" s="50">
        <f>Checklist!J68</f>
        <v>18535.948987833472</v>
      </c>
      <c r="M5" s="79">
        <f t="shared" si="4"/>
        <v>3.7071897975666945</v>
      </c>
      <c r="N5" s="246">
        <f t="shared" si="2"/>
        <v>2.9590149014901486E-2</v>
      </c>
      <c r="U5" s="3"/>
    </row>
    <row r="6" spans="1:44" x14ac:dyDescent="0.25">
      <c r="A6" s="242">
        <f t="shared" si="3"/>
        <v>0.35228909834117805</v>
      </c>
      <c r="B6" s="243" t="str">
        <f>'larger kit calc, sec per part'!B41</f>
        <v>8514ML</v>
      </c>
      <c r="C6" s="244" t="str">
        <f>'larger kit calc, sec per part'!B42</f>
        <v xml:space="preserve">Jankel </v>
      </c>
      <c r="D6" s="244" t="str">
        <f>'larger kit calc, sec per part'!B43</f>
        <v>Tactical Occupant</v>
      </c>
      <c r="E6" s="244" t="str">
        <f>'larger kit calc, sec per part'!C41</f>
        <v>-</v>
      </c>
      <c r="F6" s="253">
        <f>'larger kit calc, sec per part'!F42</f>
        <v>10000</v>
      </c>
      <c r="G6" s="164">
        <f>'larger kit calc, sec per part'!C49</f>
        <v>8</v>
      </c>
      <c r="H6" s="198">
        <f t="shared" si="0"/>
        <v>80000</v>
      </c>
      <c r="I6" s="69">
        <f t="shared" si="1"/>
        <v>10.381497349823324</v>
      </c>
      <c r="J6" s="245">
        <f>Checklist!K56</f>
        <v>230.69994110718494</v>
      </c>
      <c r="K6" s="49">
        <f>Checklist!K75</f>
        <v>89.437576025231763</v>
      </c>
      <c r="L6" s="50">
        <f>Checklist!K68</f>
        <v>28183.127867294243</v>
      </c>
      <c r="M6" s="79">
        <f t="shared" si="4"/>
        <v>2.8183127867294244</v>
      </c>
      <c r="N6" s="246">
        <f t="shared" si="2"/>
        <v>2.3069994110718493E-2</v>
      </c>
      <c r="T6" s="9"/>
      <c r="AJ6" s="95" t="s">
        <v>63</v>
      </c>
      <c r="AK6" s="95" t="s">
        <v>63</v>
      </c>
      <c r="AL6" s="95" t="s">
        <v>63</v>
      </c>
    </row>
    <row r="7" spans="1:44" x14ac:dyDescent="0.25">
      <c r="A7" s="270" t="s">
        <v>196</v>
      </c>
      <c r="B7" s="272" t="s">
        <v>197</v>
      </c>
      <c r="C7" s="272"/>
      <c r="D7" s="272"/>
      <c r="E7" s="272"/>
      <c r="F7" s="272"/>
      <c r="G7" s="272"/>
      <c r="H7" s="272"/>
      <c r="I7" s="272"/>
      <c r="J7" s="272"/>
      <c r="K7" s="272"/>
      <c r="L7" s="257"/>
      <c r="M7" s="195"/>
      <c r="N7" s="246"/>
      <c r="O7" s="190"/>
      <c r="P7" s="190"/>
      <c r="AB7" s="65"/>
      <c r="AC7" s="65"/>
      <c r="AJ7" s="95"/>
      <c r="AK7" s="95"/>
      <c r="AL7" s="95"/>
    </row>
    <row r="8" spans="1:44" ht="15.75" thickBot="1" x14ac:dyDescent="0.3">
      <c r="A8" s="271"/>
      <c r="B8" s="273"/>
      <c r="C8" s="273"/>
      <c r="D8" s="273"/>
      <c r="E8" s="273"/>
      <c r="F8" s="273"/>
      <c r="G8" s="273"/>
      <c r="H8" s="273"/>
      <c r="I8" s="273"/>
      <c r="J8" s="273"/>
      <c r="K8" s="273"/>
      <c r="L8" s="258"/>
      <c r="M8" s="259"/>
      <c r="N8" s="260"/>
      <c r="O8" s="190"/>
      <c r="P8" s="190"/>
      <c r="AB8" s="65"/>
      <c r="AC8" s="65"/>
      <c r="AJ8" s="95"/>
      <c r="AK8" s="95"/>
      <c r="AL8" s="95"/>
    </row>
    <row r="9" spans="1:44" ht="21.75" customHeight="1" thickBot="1" x14ac:dyDescent="0.3">
      <c r="A9" s="86"/>
      <c r="B9" s="48"/>
      <c r="C9" s="3"/>
      <c r="D9" s="3"/>
      <c r="E9" s="3"/>
      <c r="H9" s="205"/>
      <c r="I9" s="205"/>
      <c r="J9" s="205"/>
      <c r="K9" s="205"/>
      <c r="L9" s="205"/>
      <c r="M9" s="195"/>
      <c r="N9" s="74"/>
      <c r="O9" s="190"/>
      <c r="P9" s="190"/>
      <c r="AB9" s="65"/>
      <c r="AC9" s="65"/>
      <c r="AJ9" s="154" t="s">
        <v>65</v>
      </c>
      <c r="AK9" s="155"/>
      <c r="AL9" s="153"/>
      <c r="AQ9" s="128" t="s">
        <v>66</v>
      </c>
      <c r="AR9" s="96" t="s">
        <v>66</v>
      </c>
    </row>
    <row r="10" spans="1:44" ht="30" x14ac:dyDescent="0.25">
      <c r="A10" s="236"/>
      <c r="B10" s="237"/>
      <c r="C10" s="238"/>
      <c r="D10" s="238"/>
      <c r="E10" s="238"/>
      <c r="F10" s="238"/>
      <c r="G10" s="238"/>
      <c r="H10" s="275" t="s">
        <v>191</v>
      </c>
      <c r="I10" s="275"/>
      <c r="J10" s="275"/>
      <c r="K10" s="275"/>
      <c r="L10" s="275"/>
      <c r="N10" s="239"/>
      <c r="Q10" s="206" t="s">
        <v>10</v>
      </c>
      <c r="R10" s="207"/>
      <c r="S10" s="208"/>
      <c r="AB10" s="65"/>
      <c r="AD10" s="97" t="s">
        <v>67</v>
      </c>
      <c r="AE10" s="98" t="s">
        <v>79</v>
      </c>
      <c r="AF10" s="98" t="s">
        <v>80</v>
      </c>
      <c r="AG10" s="150" t="s">
        <v>82</v>
      </c>
      <c r="AH10" s="95" t="s">
        <v>63</v>
      </c>
      <c r="AI10" s="152"/>
      <c r="AJ10" s="95" t="s">
        <v>79</v>
      </c>
      <c r="AK10" s="95" t="s">
        <v>80</v>
      </c>
      <c r="AL10" s="158" t="s">
        <v>82</v>
      </c>
      <c r="AN10" s="99" t="s">
        <v>68</v>
      </c>
      <c r="AO10" s="100" t="s">
        <v>68</v>
      </c>
      <c r="AP10" s="101" t="s">
        <v>67</v>
      </c>
      <c r="AQ10" s="128" t="s">
        <v>69</v>
      </c>
      <c r="AR10" s="96" t="s">
        <v>43</v>
      </c>
    </row>
    <row r="11" spans="1:44" x14ac:dyDescent="0.25">
      <c r="A11" s="240" t="s">
        <v>30</v>
      </c>
      <c r="B11" s="20"/>
      <c r="C11" s="5"/>
      <c r="D11" s="5"/>
      <c r="E11" s="5"/>
      <c r="F11" s="252" t="s">
        <v>2</v>
      </c>
      <c r="G11" s="8" t="s">
        <v>3</v>
      </c>
      <c r="H11" s="8" t="s">
        <v>1</v>
      </c>
      <c r="I11" s="8" t="s">
        <v>4</v>
      </c>
      <c r="J11" s="127" t="s">
        <v>0</v>
      </c>
      <c r="K11" s="11" t="s">
        <v>8</v>
      </c>
      <c r="L11" s="8" t="s">
        <v>6</v>
      </c>
      <c r="M11" s="81" t="s">
        <v>5</v>
      </c>
      <c r="N11" s="241" t="s">
        <v>27</v>
      </c>
      <c r="O11" s="8"/>
      <c r="P11" s="8"/>
      <c r="Q11" s="209" t="s">
        <v>7</v>
      </c>
      <c r="R11" s="10" t="s">
        <v>8</v>
      </c>
      <c r="S11" s="210" t="s">
        <v>5</v>
      </c>
      <c r="V11" s="3"/>
      <c r="AB11" s="65"/>
      <c r="AD11" s="102" t="s">
        <v>8</v>
      </c>
      <c r="AE11" s="103" t="s">
        <v>49</v>
      </c>
      <c r="AF11" s="103" t="s">
        <v>49</v>
      </c>
      <c r="AG11" s="104" t="s">
        <v>49</v>
      </c>
      <c r="AH11" s="105" t="s">
        <v>64</v>
      </c>
      <c r="AJ11" s="106" t="s">
        <v>70</v>
      </c>
      <c r="AK11" s="103" t="s">
        <v>70</v>
      </c>
      <c r="AL11" s="107" t="s">
        <v>70</v>
      </c>
      <c r="AN11" s="108" t="s">
        <v>8</v>
      </c>
      <c r="AO11" s="109" t="s">
        <v>49</v>
      </c>
      <c r="AP11" s="103" t="s">
        <v>49</v>
      </c>
      <c r="AQ11" s="129" t="s">
        <v>49</v>
      </c>
      <c r="AR11" s="11" t="s">
        <v>9</v>
      </c>
    </row>
    <row r="12" spans="1:44" ht="14.25" customHeight="1" x14ac:dyDescent="0.25">
      <c r="A12" s="242">
        <f t="shared" ref="A12" si="5">L12/H12</f>
        <v>0.71041666666666659</v>
      </c>
      <c r="B12" s="243" t="str">
        <f>'larger kit calc, sec per part'!B11</f>
        <v>8514ML</v>
      </c>
      <c r="C12" s="244" t="str">
        <f>'larger kit calc, sec per part'!B12</f>
        <v xml:space="preserve">Jankel </v>
      </c>
      <c r="D12" s="244" t="str">
        <f>'larger kit calc, sec per part'!B13</f>
        <v>Tactical Occupant</v>
      </c>
      <c r="E12" s="244" t="str">
        <f>'larger kit calc, sec per part'!C11</f>
        <v>-</v>
      </c>
      <c r="F12" s="253">
        <f>'larger kit calc, sec per part'!F12</f>
        <v>500</v>
      </c>
      <c r="G12" s="164">
        <f>'larger kit calc, sec per part'!C19</f>
        <v>8</v>
      </c>
      <c r="H12" s="198">
        <f t="shared" ref="H12:H13" si="6">F12*G12</f>
        <v>4000</v>
      </c>
      <c r="I12" s="69">
        <f t="shared" ref="I12" si="7">(J12*3600)/H12</f>
        <v>25.500000000000004</v>
      </c>
      <c r="J12" s="245">
        <f t="shared" ref="J12" si="8">AQ12</f>
        <v>28.333333333333336</v>
      </c>
      <c r="K12" s="49">
        <f>AR12</f>
        <v>100.29411764705881</v>
      </c>
      <c r="L12" s="50">
        <f t="shared" ref="L12" si="9">J12*K12</f>
        <v>2841.6666666666665</v>
      </c>
      <c r="M12" s="79">
        <f t="shared" ref="M12" si="10">L12/F12</f>
        <v>5.6833333333333327</v>
      </c>
      <c r="N12" s="246">
        <f t="shared" ref="N12" si="11">J12/F12</f>
        <v>5.6666666666666671E-2</v>
      </c>
      <c r="O12" s="74"/>
      <c r="P12" s="74"/>
      <c r="Q12" s="233">
        <f t="shared" ref="Q12:Q15" si="12">G12/60</f>
        <v>0.13333333333333333</v>
      </c>
      <c r="R12" s="234">
        <f t="shared" ref="R12:R15" si="13">M12/Q12</f>
        <v>42.624999999999993</v>
      </c>
      <c r="S12" s="235">
        <f t="shared" ref="S12:S15" si="14">M12</f>
        <v>5.6833333333333327</v>
      </c>
      <c r="V12" s="140"/>
      <c r="X12" s="4"/>
      <c r="AB12" s="69"/>
      <c r="AC12" s="69"/>
      <c r="AD12" s="110">
        <v>77</v>
      </c>
      <c r="AE12" s="115">
        <f t="shared" ref="AE12:AE13" si="15">AJ12/60</f>
        <v>0</v>
      </c>
      <c r="AF12" s="115">
        <f>AK12/60</f>
        <v>0</v>
      </c>
      <c r="AG12" s="111">
        <f>AL12/60</f>
        <v>0</v>
      </c>
      <c r="AH12" s="95">
        <v>0</v>
      </c>
      <c r="AJ12" s="112">
        <v>0</v>
      </c>
      <c r="AK12" s="156">
        <v>0</v>
      </c>
      <c r="AL12" s="113">
        <v>0</v>
      </c>
      <c r="AN12" s="114">
        <f>'larger kit calc, sec per part'!O19</f>
        <v>100.29411764705881</v>
      </c>
      <c r="AO12" s="100">
        <f>'larger kit calc, sec per part'!I19</f>
        <v>28.333333333333336</v>
      </c>
      <c r="AP12" s="115">
        <f>F12*(AE12+AF12+AG12)*AH12</f>
        <v>0</v>
      </c>
      <c r="AQ12" s="131">
        <f t="shared" ref="AQ12" si="16">AO12+AP12</f>
        <v>28.333333333333336</v>
      </c>
      <c r="AR12" s="15">
        <f>(AD12*(AP12/AQ12))+(AN12*(AO12/AQ12))</f>
        <v>100.29411764705881</v>
      </c>
    </row>
    <row r="13" spans="1:44" ht="14.25" customHeight="1" x14ac:dyDescent="0.25">
      <c r="A13" s="242">
        <f t="shared" ref="A13" si="17">L13/H13</f>
        <v>0.41807332544887649</v>
      </c>
      <c r="B13" s="243" t="str">
        <f>'larger kit calc, sec per part'!B21</f>
        <v>8514ML</v>
      </c>
      <c r="C13" s="244" t="str">
        <f>'larger kit calc, sec per part'!B22</f>
        <v xml:space="preserve">Jankel </v>
      </c>
      <c r="D13" s="244" t="str">
        <f>'larger kit calc, sec per part'!B23</f>
        <v>Tactical Occupant</v>
      </c>
      <c r="E13" s="244" t="str">
        <f>'larger kit calc, sec per part'!C21</f>
        <v>-</v>
      </c>
      <c r="F13" s="253">
        <f>'larger kit calc, sec per part'!F22</f>
        <v>1000</v>
      </c>
      <c r="G13" s="164">
        <f>'larger kit calc, sec per part'!C29</f>
        <v>8</v>
      </c>
      <c r="H13" s="198">
        <f t="shared" si="6"/>
        <v>8000</v>
      </c>
      <c r="I13" s="69">
        <f t="shared" ref="I13" si="18">(J13*3600)/H13</f>
        <v>15.743468444253308</v>
      </c>
      <c r="J13" s="245">
        <f t="shared" ref="J13" si="19">AQ13</f>
        <v>34.985485431674014</v>
      </c>
      <c r="K13" s="49">
        <f t="shared" ref="K13" si="20">AR13</f>
        <v>95.599262446220038</v>
      </c>
      <c r="L13" s="50">
        <f t="shared" ref="L13" si="21">J13*K13</f>
        <v>3344.5866035910117</v>
      </c>
      <c r="M13" s="79">
        <f t="shared" ref="M13" si="22">L13/F13</f>
        <v>3.3445866035910119</v>
      </c>
      <c r="N13" s="246">
        <f t="shared" ref="N13" si="23">J13/F13</f>
        <v>3.4985485431674013E-2</v>
      </c>
      <c r="O13" s="74"/>
      <c r="P13" s="74"/>
      <c r="Q13" s="211">
        <f t="shared" si="12"/>
        <v>0.13333333333333333</v>
      </c>
      <c r="R13" s="232">
        <f t="shared" si="13"/>
        <v>25.084399526932589</v>
      </c>
      <c r="S13" s="212">
        <f t="shared" si="14"/>
        <v>3.3445866035910119</v>
      </c>
      <c r="V13" s="140"/>
      <c r="X13" s="4"/>
      <c r="AB13" s="69"/>
      <c r="AC13" s="69"/>
      <c r="AD13" s="110">
        <v>77</v>
      </c>
      <c r="AE13" s="115">
        <f t="shared" si="15"/>
        <v>0</v>
      </c>
      <c r="AF13" s="115">
        <f t="shared" ref="AF13:AF15" si="24">AK13/60</f>
        <v>0</v>
      </c>
      <c r="AG13" s="111">
        <f>AL13/60</f>
        <v>0</v>
      </c>
      <c r="AH13" s="95">
        <v>0</v>
      </c>
      <c r="AJ13" s="112">
        <v>0</v>
      </c>
      <c r="AK13" s="156">
        <v>0</v>
      </c>
      <c r="AL13" s="113">
        <v>0</v>
      </c>
      <c r="AN13" s="114">
        <f>'larger kit calc, sec per part'!O29</f>
        <v>95.599262446220038</v>
      </c>
      <c r="AO13" s="100">
        <f>'larger kit calc, sec per part'!I29</f>
        <v>34.985485431674014</v>
      </c>
      <c r="AP13" s="115">
        <f t="shared" ref="AP13:AP15" si="25">F13*(AE13+AF13+AG13)*AH13</f>
        <v>0</v>
      </c>
      <c r="AQ13" s="131">
        <f t="shared" ref="AQ13" si="26">AO13+AP13</f>
        <v>34.985485431674014</v>
      </c>
      <c r="AR13" s="116">
        <f>(AD13*(AP13/AQ13))+(AN13*(AO13/AQ13))</f>
        <v>95.599262446220038</v>
      </c>
    </row>
    <row r="14" spans="1:44" ht="14.25" customHeight="1" x14ac:dyDescent="0.25">
      <c r="A14" s="242">
        <f t="shared" ref="A14:A15" si="27">L14/H14</f>
        <v>0.30694788228822883</v>
      </c>
      <c r="B14" s="243" t="str">
        <f>'larger kit calc, sec per part'!B31</f>
        <v>8514ML</v>
      </c>
      <c r="C14" s="244" t="str">
        <f>'larger kit calc, sec per part'!B32</f>
        <v xml:space="preserve">Jankel </v>
      </c>
      <c r="D14" s="244" t="str">
        <f>'larger kit calc, sec per part'!B33</f>
        <v>Tactical Occupant</v>
      </c>
      <c r="E14" s="244" t="str">
        <f>'larger kit calc, sec per part'!C31</f>
        <v>-</v>
      </c>
      <c r="F14" s="253">
        <f>'larger kit calc, sec per part'!F32</f>
        <v>5000</v>
      </c>
      <c r="G14" s="164">
        <f>'larger kit calc, sec per part'!C39</f>
        <v>8</v>
      </c>
      <c r="H14" s="198">
        <f t="shared" ref="H14:H15" si="28">F14*G14</f>
        <v>40000</v>
      </c>
      <c r="I14" s="69">
        <f t="shared" ref="I14:I15" si="29">(J14*3600)/H14</f>
        <v>11.92056705670567</v>
      </c>
      <c r="J14" s="245">
        <f t="shared" ref="J14:J15" si="30">AQ14</f>
        <v>132.45074507450744</v>
      </c>
      <c r="K14" s="49">
        <f t="shared" ref="K14:K15" si="31">AR14</f>
        <v>92.697970740915537</v>
      </c>
      <c r="L14" s="50">
        <f t="shared" ref="L14:L15" si="32">J14*K14</f>
        <v>12277.915291529152</v>
      </c>
      <c r="M14" s="79">
        <f t="shared" ref="M14:M15" si="33">L14/F14</f>
        <v>2.4555830583058307</v>
      </c>
      <c r="N14" s="246">
        <f t="shared" ref="N14:N15" si="34">J14/F14</f>
        <v>2.6490149014901487E-2</v>
      </c>
      <c r="O14" s="74"/>
      <c r="P14" s="74"/>
      <c r="Q14" s="211">
        <f t="shared" si="12"/>
        <v>0.13333333333333333</v>
      </c>
      <c r="R14" s="232">
        <f t="shared" si="13"/>
        <v>18.416872937293732</v>
      </c>
      <c r="S14" s="212">
        <f t="shared" si="14"/>
        <v>2.4555830583058307</v>
      </c>
      <c r="V14" s="140"/>
      <c r="X14" s="4"/>
      <c r="AB14" s="69"/>
      <c r="AC14" s="69"/>
      <c r="AD14" s="110">
        <v>77</v>
      </c>
      <c r="AE14" s="115">
        <f t="shared" ref="AE14:AE15" si="35">AJ14/60</f>
        <v>0</v>
      </c>
      <c r="AF14" s="115">
        <f t="shared" si="24"/>
        <v>0</v>
      </c>
      <c r="AG14" s="111">
        <f>AL14/60</f>
        <v>0</v>
      </c>
      <c r="AH14" s="95">
        <v>0</v>
      </c>
      <c r="AJ14" s="112">
        <v>0</v>
      </c>
      <c r="AK14" s="156">
        <v>0</v>
      </c>
      <c r="AL14" s="113">
        <v>0</v>
      </c>
      <c r="AN14" s="114">
        <f>'larger kit calc, sec per part'!O39</f>
        <v>92.697970740915537</v>
      </c>
      <c r="AO14" s="100">
        <f>'larger kit calc, sec per part'!I39</f>
        <v>132.45074507450744</v>
      </c>
      <c r="AP14" s="115">
        <f t="shared" si="25"/>
        <v>0</v>
      </c>
      <c r="AQ14" s="131">
        <f t="shared" ref="AQ14:AQ15" si="36">AO14+AP14</f>
        <v>132.45074507450744</v>
      </c>
      <c r="AR14" s="116">
        <f>(AD14*(AP14/AQ14))+(AN14*(AO14/AQ14))</f>
        <v>92.697970740915537</v>
      </c>
    </row>
    <row r="15" spans="1:44" ht="14.25" customHeight="1" x14ac:dyDescent="0.25">
      <c r="A15" s="242">
        <f t="shared" si="27"/>
        <v>0.23368116902237926</v>
      </c>
      <c r="B15" s="243" t="str">
        <f>'larger kit calc, sec per part'!B41</f>
        <v>8514ML</v>
      </c>
      <c r="C15" s="244" t="str">
        <f>'larger kit calc, sec per part'!B42</f>
        <v xml:space="preserve">Jankel </v>
      </c>
      <c r="D15" s="244" t="str">
        <f>'larger kit calc, sec per part'!B43</f>
        <v>Tactical Occupant</v>
      </c>
      <c r="E15" s="244" t="str">
        <f>'larger kit calc, sec per part'!C41</f>
        <v>-</v>
      </c>
      <c r="F15" s="253">
        <f>'larger kit calc, sec per part'!F42</f>
        <v>10000</v>
      </c>
      <c r="G15" s="164">
        <f>'larger kit calc, sec per part'!C49</f>
        <v>8</v>
      </c>
      <c r="H15" s="198">
        <f t="shared" si="28"/>
        <v>80000</v>
      </c>
      <c r="I15" s="69">
        <f t="shared" si="29"/>
        <v>9.335247349823323</v>
      </c>
      <c r="J15" s="245">
        <f t="shared" si="30"/>
        <v>207.44994110718494</v>
      </c>
      <c r="K15" s="49">
        <f t="shared" si="31"/>
        <v>90.115684882895664</v>
      </c>
      <c r="L15" s="50">
        <f t="shared" si="32"/>
        <v>18694.49352179034</v>
      </c>
      <c r="M15" s="79">
        <f t="shared" si="33"/>
        <v>1.8694493521790341</v>
      </c>
      <c r="N15" s="246">
        <f t="shared" si="34"/>
        <v>2.0744994110718493E-2</v>
      </c>
      <c r="O15" s="74"/>
      <c r="P15" s="74"/>
      <c r="Q15" s="211">
        <f t="shared" si="12"/>
        <v>0.13333333333333333</v>
      </c>
      <c r="R15" s="232">
        <f t="shared" si="13"/>
        <v>14.020870141342757</v>
      </c>
      <c r="S15" s="212">
        <f t="shared" si="14"/>
        <v>1.8694493521790341</v>
      </c>
      <c r="V15" s="140"/>
      <c r="X15" s="4"/>
      <c r="AB15" s="69"/>
      <c r="AC15" s="69"/>
      <c r="AD15" s="110">
        <v>77</v>
      </c>
      <c r="AE15" s="115">
        <f t="shared" si="35"/>
        <v>0</v>
      </c>
      <c r="AF15" s="115">
        <f t="shared" si="24"/>
        <v>0</v>
      </c>
      <c r="AG15" s="111">
        <f>AL15/60</f>
        <v>0</v>
      </c>
      <c r="AH15" s="95">
        <v>0</v>
      </c>
      <c r="AJ15" s="112">
        <v>0</v>
      </c>
      <c r="AK15" s="156">
        <v>0</v>
      </c>
      <c r="AL15" s="113">
        <v>0</v>
      </c>
      <c r="AN15" s="114">
        <f>'larger kit calc, sec per part'!O49</f>
        <v>90.115684882895664</v>
      </c>
      <c r="AO15" s="100">
        <f>'larger kit calc, sec per part'!I49</f>
        <v>207.44994110718494</v>
      </c>
      <c r="AP15" s="115">
        <f t="shared" si="25"/>
        <v>0</v>
      </c>
      <c r="AQ15" s="131">
        <f t="shared" si="36"/>
        <v>207.44994110718494</v>
      </c>
      <c r="AR15" s="116">
        <f>(AD15*(AP15/AQ15))+(AN15*(AO15/AQ15))</f>
        <v>90.115684882895664</v>
      </c>
    </row>
    <row r="16" spans="1:44" ht="15.75" thickBot="1" x14ac:dyDescent="0.3">
      <c r="A16" s="270" t="s">
        <v>196</v>
      </c>
      <c r="B16" s="272" t="s">
        <v>197</v>
      </c>
      <c r="C16" s="272"/>
      <c r="D16" s="272"/>
      <c r="E16" s="272"/>
      <c r="F16" s="272"/>
      <c r="G16" s="272"/>
      <c r="H16" s="272"/>
      <c r="I16" s="272"/>
      <c r="J16" s="272"/>
      <c r="K16" s="272"/>
      <c r="N16" s="248"/>
      <c r="Q16" s="80"/>
      <c r="R16" s="80"/>
      <c r="S16" s="80"/>
      <c r="T16" s="80"/>
      <c r="U16" s="82"/>
      <c r="V16" s="80"/>
      <c r="W16" s="14"/>
      <c r="X16" s="24"/>
      <c r="Y16" s="22"/>
      <c r="Z16" s="22"/>
      <c r="AA16" s="117" t="s">
        <v>71</v>
      </c>
      <c r="AB16" s="118"/>
      <c r="AC16" s="119"/>
      <c r="AD16" s="120"/>
      <c r="AE16" s="121"/>
      <c r="AF16" s="121"/>
      <c r="AG16" s="122"/>
      <c r="AJ16" s="123"/>
      <c r="AK16" s="157"/>
      <c r="AL16" s="124"/>
    </row>
    <row r="17" spans="1:38" ht="15.75" thickBot="1" x14ac:dyDescent="0.3">
      <c r="A17" s="271"/>
      <c r="B17" s="273"/>
      <c r="C17" s="273"/>
      <c r="D17" s="273"/>
      <c r="E17" s="273"/>
      <c r="F17" s="273"/>
      <c r="G17" s="273"/>
      <c r="H17" s="273"/>
      <c r="I17" s="273"/>
      <c r="J17" s="273"/>
      <c r="K17" s="273"/>
      <c r="L17" s="249"/>
      <c r="M17" s="250"/>
      <c r="N17" s="251"/>
      <c r="Q17" s="80"/>
      <c r="R17" s="80"/>
      <c r="S17" s="80"/>
      <c r="T17" s="80"/>
      <c r="U17" s="82"/>
      <c r="V17" s="80"/>
      <c r="W17" s="14"/>
      <c r="X17" s="24"/>
      <c r="Y17" s="22"/>
      <c r="Z17" s="22"/>
      <c r="AA17" s="193"/>
      <c r="AB17" s="22"/>
      <c r="AC17" s="23"/>
      <c r="AD17" s="194"/>
      <c r="AL17" s="65"/>
    </row>
    <row r="18" spans="1:38" ht="15.75" thickBot="1" x14ac:dyDescent="0.3">
      <c r="B18" s="14"/>
      <c r="C18" s="24"/>
      <c r="D18" s="22"/>
      <c r="E18" s="22"/>
      <c r="F18" s="22"/>
      <c r="G18" s="22"/>
      <c r="H18" s="23"/>
      <c r="I18" s="24"/>
      <c r="J18" s="13"/>
      <c r="K18" s="25"/>
      <c r="L18" s="202"/>
      <c r="M18" s="204"/>
      <c r="Q18" s="80"/>
      <c r="R18" s="80"/>
      <c r="S18" s="80"/>
      <c r="T18" s="80"/>
      <c r="U18" s="82"/>
      <c r="V18" s="80"/>
      <c r="W18" s="14"/>
      <c r="X18" s="24"/>
      <c r="Y18" s="22"/>
      <c r="Z18" s="22"/>
      <c r="AA18" s="193"/>
      <c r="AB18" s="22"/>
      <c r="AC18" s="23"/>
      <c r="AD18" s="194"/>
      <c r="AL18" s="65"/>
    </row>
    <row r="19" spans="1:38" ht="21" x14ac:dyDescent="0.25">
      <c r="A19" s="236"/>
      <c r="B19" s="261"/>
      <c r="C19" s="262"/>
      <c r="D19" s="263"/>
      <c r="E19" s="263"/>
      <c r="F19" s="263"/>
      <c r="G19" s="263"/>
      <c r="H19" s="279" t="s">
        <v>185</v>
      </c>
      <c r="I19" s="280"/>
      <c r="J19" s="280"/>
      <c r="K19" s="280"/>
      <c r="L19" s="281"/>
      <c r="M19" s="256" t="s">
        <v>183</v>
      </c>
      <c r="N19" s="239"/>
      <c r="Q19" s="80"/>
      <c r="R19" s="80"/>
      <c r="S19" s="80"/>
      <c r="T19" s="80"/>
      <c r="U19" s="82"/>
      <c r="V19" s="80"/>
      <c r="W19" s="14"/>
      <c r="X19" s="24"/>
      <c r="Y19" s="22"/>
      <c r="Z19" s="22"/>
      <c r="AA19" s="193"/>
      <c r="AB19" s="22"/>
      <c r="AC19" s="23"/>
      <c r="AD19" s="194"/>
      <c r="AL19" s="65"/>
    </row>
    <row r="20" spans="1:38" x14ac:dyDescent="0.25">
      <c r="A20" s="240" t="s">
        <v>30</v>
      </c>
      <c r="B20" s="20"/>
      <c r="C20" s="5"/>
      <c r="D20" s="5"/>
      <c r="E20" s="5"/>
      <c r="F20" s="252" t="s">
        <v>2</v>
      </c>
      <c r="G20" s="8" t="s">
        <v>3</v>
      </c>
      <c r="H20" s="8" t="s">
        <v>1</v>
      </c>
      <c r="I20" s="8" t="s">
        <v>4</v>
      </c>
      <c r="J20" s="127" t="s">
        <v>0</v>
      </c>
      <c r="K20" s="11" t="s">
        <v>8</v>
      </c>
      <c r="L20" s="8" t="s">
        <v>6</v>
      </c>
      <c r="M20" s="81" t="s">
        <v>5</v>
      </c>
      <c r="N20" s="241" t="s">
        <v>27</v>
      </c>
      <c r="Q20" s="80"/>
      <c r="R20" s="80"/>
      <c r="S20" s="80"/>
      <c r="T20" s="80"/>
      <c r="U20" s="82"/>
      <c r="V20" s="80"/>
      <c r="W20" s="14"/>
      <c r="X20" s="24"/>
      <c r="Y20" s="22"/>
      <c r="Z20" s="22"/>
      <c r="AA20" s="193"/>
      <c r="AB20" s="22"/>
      <c r="AC20" s="23"/>
      <c r="AD20" s="194"/>
      <c r="AL20" s="65"/>
    </row>
    <row r="21" spans="1:38" x14ac:dyDescent="0.25">
      <c r="A21" s="242">
        <f t="shared" ref="A21" si="37">L21/H21</f>
        <v>0.95073032011718761</v>
      </c>
      <c r="B21" s="247" t="str">
        <f>'larger kit calc, sec per part'!B11</f>
        <v>8514ML</v>
      </c>
      <c r="C21" s="264" t="str">
        <f>'larger kit calc, sec per part'!B12</f>
        <v xml:space="preserve">Jankel </v>
      </c>
      <c r="D21" s="264" t="str">
        <f>'larger kit calc, sec per part'!B13</f>
        <v>Tactical Occupant</v>
      </c>
      <c r="E21" s="264" t="str">
        <f>'larger kit calc, sec per part'!C11</f>
        <v>-</v>
      </c>
      <c r="F21" s="253">
        <f>'larger kit calc, sec per part'!F12</f>
        <v>500</v>
      </c>
      <c r="G21" s="164">
        <f>'larger kit calc, sec per part'!C19</f>
        <v>8</v>
      </c>
      <c r="H21" s="198">
        <f t="shared" ref="H21" si="38">F21*G21</f>
        <v>4000</v>
      </c>
      <c r="I21" s="265">
        <f t="shared" ref="I21" si="39">(J21*3600)/H21</f>
        <v>28.987500000000004</v>
      </c>
      <c r="J21" s="245">
        <f t="shared" ref="J21:M24" si="40">AVERAGE(J3+J12)/2</f>
        <v>32.208333333333336</v>
      </c>
      <c r="K21" s="49">
        <f t="shared" si="40"/>
        <v>98.478467599510935</v>
      </c>
      <c r="L21" s="50">
        <f t="shared" si="40"/>
        <v>3802.9212804687504</v>
      </c>
      <c r="M21" s="79">
        <f t="shared" si="40"/>
        <v>7.6058425609375</v>
      </c>
      <c r="N21" s="246">
        <f t="shared" ref="N21" si="41">J21/F21</f>
        <v>6.4416666666666678E-2</v>
      </c>
      <c r="Q21" s="80"/>
      <c r="R21" s="80"/>
      <c r="S21" s="80"/>
      <c r="T21" s="80"/>
      <c r="U21" s="82"/>
      <c r="V21" s="80"/>
      <c r="W21" s="14"/>
      <c r="X21" s="24"/>
      <c r="Y21" s="22"/>
      <c r="Z21" s="22"/>
      <c r="AA21" s="193"/>
      <c r="AB21" s="22"/>
      <c r="AC21" s="23"/>
      <c r="AD21" s="194"/>
      <c r="AL21" s="65"/>
    </row>
    <row r="22" spans="1:38" x14ac:dyDescent="0.25">
      <c r="A22" s="242">
        <f t="shared" ref="A22:A24" si="42">L22/H22</f>
        <v>0.56738594810976595</v>
      </c>
      <c r="B22" s="247" t="str">
        <f>'larger kit calc, sec per part'!B21</f>
        <v>8514ML</v>
      </c>
      <c r="C22" s="264" t="str">
        <f>'larger kit calc, sec per part'!B22</f>
        <v xml:space="preserve">Jankel </v>
      </c>
      <c r="D22" s="264" t="str">
        <f>'larger kit calc, sec per part'!B23</f>
        <v>Tactical Occupant</v>
      </c>
      <c r="E22" s="264" t="str">
        <f>'larger kit calc, sec per part'!C21</f>
        <v>-</v>
      </c>
      <c r="F22" s="253">
        <f>'larger kit calc, sec per part'!F22</f>
        <v>1000</v>
      </c>
      <c r="G22" s="164">
        <f>'larger kit calc, sec per part'!C29</f>
        <v>8</v>
      </c>
      <c r="H22" s="198">
        <f t="shared" ref="H22:H24" si="43">F22*G22</f>
        <v>8000</v>
      </c>
      <c r="I22" s="265">
        <f t="shared" ref="I22:I24" si="44">(J22*3600)/H22</f>
        <v>18.045218444253301</v>
      </c>
      <c r="J22" s="245">
        <f t="shared" si="40"/>
        <v>40.100485431674002</v>
      </c>
      <c r="K22" s="49">
        <f t="shared" si="40"/>
        <v>94.217761687883439</v>
      </c>
      <c r="L22" s="50">
        <f t="shared" si="40"/>
        <v>4539.0875848781279</v>
      </c>
      <c r="M22" s="79">
        <f t="shared" si="40"/>
        <v>4.5390875848781276</v>
      </c>
      <c r="N22" s="246">
        <f t="shared" ref="N22:N24" si="45">J22/F22</f>
        <v>4.0100485431674E-2</v>
      </c>
      <c r="Q22" s="80"/>
      <c r="R22" s="80"/>
      <c r="S22" s="80"/>
      <c r="T22" s="80"/>
      <c r="U22" s="82"/>
      <c r="V22" s="80"/>
      <c r="W22" s="14"/>
      <c r="X22" s="24"/>
      <c r="Y22" s="22"/>
      <c r="Z22" s="22"/>
      <c r="AA22" s="193"/>
      <c r="AB22" s="22"/>
      <c r="AC22" s="23"/>
      <c r="AD22" s="194"/>
      <c r="AL22" s="65"/>
    </row>
    <row r="23" spans="1:38" x14ac:dyDescent="0.25">
      <c r="A23" s="242">
        <f t="shared" si="42"/>
        <v>0.38517330349203283</v>
      </c>
      <c r="B23" s="247" t="str">
        <f>'larger kit calc, sec per part'!B31</f>
        <v>8514ML</v>
      </c>
      <c r="C23" s="264" t="str">
        <f>'larger kit calc, sec per part'!B32</f>
        <v xml:space="preserve">Jankel </v>
      </c>
      <c r="D23" s="264" t="str">
        <f>'larger kit calc, sec per part'!B33</f>
        <v>Tactical Occupant</v>
      </c>
      <c r="E23" s="264" t="str">
        <f>'larger kit calc, sec per part'!C31</f>
        <v>-</v>
      </c>
      <c r="F23" s="253">
        <f>'larger kit calc, sec per part'!F32</f>
        <v>5000</v>
      </c>
      <c r="G23" s="164">
        <f>'larger kit calc, sec per part'!C39</f>
        <v>8</v>
      </c>
      <c r="H23" s="198">
        <f t="shared" si="43"/>
        <v>40000</v>
      </c>
      <c r="I23" s="265">
        <f t="shared" si="44"/>
        <v>12.618067056705669</v>
      </c>
      <c r="J23" s="245">
        <f t="shared" si="40"/>
        <v>140.20074507450744</v>
      </c>
      <c r="K23" s="49">
        <f t="shared" si="40"/>
        <v>92.210245767271388</v>
      </c>
      <c r="L23" s="50">
        <f t="shared" si="40"/>
        <v>15406.932139681312</v>
      </c>
      <c r="M23" s="79">
        <f t="shared" si="40"/>
        <v>3.0813864279362626</v>
      </c>
      <c r="N23" s="246">
        <f t="shared" si="45"/>
        <v>2.8040149014901487E-2</v>
      </c>
      <c r="Q23" s="80"/>
      <c r="R23" s="80"/>
      <c r="S23" s="80"/>
      <c r="T23" s="80"/>
      <c r="U23" s="82"/>
      <c r="V23" s="80"/>
      <c r="W23" s="14"/>
      <c r="X23" s="24"/>
      <c r="Y23" s="22"/>
      <c r="Z23" s="22"/>
      <c r="AA23" s="193"/>
      <c r="AB23" s="22"/>
      <c r="AC23" s="23"/>
      <c r="AD23" s="194"/>
      <c r="AL23" s="65"/>
    </row>
    <row r="24" spans="1:38" x14ac:dyDescent="0.25">
      <c r="A24" s="242">
        <f t="shared" si="42"/>
        <v>0.29298513368177864</v>
      </c>
      <c r="B24" s="247" t="str">
        <f>'larger kit calc, sec per part'!B41</f>
        <v>8514ML</v>
      </c>
      <c r="C24" s="264" t="str">
        <f>'larger kit calc, sec per part'!B42</f>
        <v xml:space="preserve">Jankel </v>
      </c>
      <c r="D24" s="264" t="str">
        <f>'larger kit calc, sec per part'!B43</f>
        <v>Tactical Occupant</v>
      </c>
      <c r="E24" s="264" t="str">
        <f>'larger kit calc, sec per part'!C41</f>
        <v>-</v>
      </c>
      <c r="F24" s="253">
        <f>'larger kit calc, sec per part'!F42</f>
        <v>10000</v>
      </c>
      <c r="G24" s="164">
        <f>'larger kit calc, sec per part'!C49</f>
        <v>8</v>
      </c>
      <c r="H24" s="198">
        <f t="shared" si="43"/>
        <v>80000</v>
      </c>
      <c r="I24" s="265">
        <f t="shared" si="44"/>
        <v>9.8583723498233233</v>
      </c>
      <c r="J24" s="245">
        <f t="shared" si="40"/>
        <v>219.07494110718494</v>
      </c>
      <c r="K24" s="49">
        <f t="shared" si="40"/>
        <v>89.776630454063707</v>
      </c>
      <c r="L24" s="50">
        <f t="shared" si="40"/>
        <v>23438.810694542291</v>
      </c>
      <c r="M24" s="79">
        <f t="shared" si="40"/>
        <v>2.3438810694542291</v>
      </c>
      <c r="N24" s="246">
        <f t="shared" si="45"/>
        <v>2.1907494110718493E-2</v>
      </c>
      <c r="Q24" s="80"/>
      <c r="R24" s="80"/>
      <c r="S24" s="80"/>
      <c r="T24" s="80"/>
      <c r="U24" s="82"/>
      <c r="V24" s="80"/>
      <c r="W24" s="14"/>
      <c r="X24" s="24"/>
      <c r="Y24" s="22"/>
      <c r="Z24" s="22"/>
      <c r="AA24" s="193"/>
      <c r="AB24" s="22"/>
      <c r="AC24" s="23"/>
      <c r="AD24" s="194"/>
      <c r="AL24" s="65"/>
    </row>
    <row r="25" spans="1:38" x14ac:dyDescent="0.25">
      <c r="A25" s="270" t="s">
        <v>196</v>
      </c>
      <c r="B25" s="272" t="s">
        <v>197</v>
      </c>
      <c r="C25" s="272"/>
      <c r="D25" s="272"/>
      <c r="E25" s="272"/>
      <c r="F25" s="272"/>
      <c r="G25" s="272"/>
      <c r="H25" s="272"/>
      <c r="I25" s="272"/>
      <c r="J25" s="272"/>
      <c r="K25" s="272"/>
      <c r="L25" s="202" t="s">
        <v>72</v>
      </c>
      <c r="M25" s="203" t="s">
        <v>96</v>
      </c>
      <c r="N25" s="246"/>
      <c r="Q25" s="80"/>
      <c r="R25" s="80"/>
      <c r="S25" s="80"/>
      <c r="T25" s="80"/>
      <c r="U25" s="82"/>
      <c r="V25" s="80"/>
      <c r="W25" s="14"/>
      <c r="X25" s="24"/>
      <c r="Y25" s="22"/>
      <c r="Z25" s="22"/>
      <c r="AA25" s="193"/>
      <c r="AB25" s="22"/>
      <c r="AC25" s="23"/>
      <c r="AD25" s="194"/>
      <c r="AL25" s="65"/>
    </row>
    <row r="26" spans="1:38" ht="15.75" thickBot="1" x14ac:dyDescent="0.3">
      <c r="A26" s="271"/>
      <c r="B26" s="273"/>
      <c r="C26" s="273"/>
      <c r="D26" s="273"/>
      <c r="E26" s="273"/>
      <c r="F26" s="273"/>
      <c r="G26" s="273"/>
      <c r="H26" s="273"/>
      <c r="I26" s="273"/>
      <c r="J26" s="273"/>
      <c r="K26" s="273"/>
      <c r="L26" s="266"/>
      <c r="M26" s="259"/>
      <c r="N26" s="260"/>
      <c r="Q26" s="80"/>
      <c r="R26" s="80"/>
      <c r="S26" s="80"/>
      <c r="T26" s="80"/>
      <c r="U26" s="82"/>
      <c r="V26" s="80"/>
      <c r="W26" s="14"/>
      <c r="X26" s="24"/>
      <c r="Y26" s="22"/>
      <c r="Z26" s="22"/>
      <c r="AA26" s="193"/>
      <c r="AB26" s="22"/>
      <c r="AC26" s="23"/>
      <c r="AD26" s="194"/>
      <c r="AL26" s="65"/>
    </row>
    <row r="27" spans="1:38" x14ac:dyDescent="0.25">
      <c r="B27" s="14"/>
      <c r="C27" s="24"/>
      <c r="D27" s="22"/>
      <c r="E27" s="22"/>
      <c r="F27" s="22"/>
      <c r="G27" s="22"/>
      <c r="H27" s="23"/>
      <c r="I27" s="24"/>
      <c r="J27" s="13"/>
      <c r="K27" s="25"/>
      <c r="L27" s="12"/>
      <c r="M27" s="192"/>
      <c r="Q27" s="80"/>
      <c r="R27" s="80"/>
      <c r="S27" s="80"/>
      <c r="T27" s="80"/>
      <c r="U27" s="82"/>
      <c r="V27" s="80"/>
      <c r="W27" s="14"/>
      <c r="X27" s="24"/>
      <c r="Y27" s="22"/>
      <c r="Z27" s="22"/>
      <c r="AA27" s="193"/>
      <c r="AB27" s="22"/>
      <c r="AC27" s="23"/>
      <c r="AD27" s="194"/>
      <c r="AL27" s="65"/>
    </row>
    <row r="28" spans="1:38" ht="23.25" hidden="1" x14ac:dyDescent="0.25">
      <c r="A28" s="52"/>
      <c r="B28" s="213"/>
      <c r="C28" s="28"/>
      <c r="D28" s="28"/>
      <c r="E28" s="28"/>
      <c r="F28" s="28"/>
      <c r="G28" s="28"/>
      <c r="H28" s="267" t="s">
        <v>184</v>
      </c>
      <c r="I28" s="268"/>
      <c r="J28" s="268"/>
      <c r="K28" s="268"/>
      <c r="L28" s="269"/>
      <c r="M28" s="28"/>
      <c r="N28" s="53"/>
    </row>
    <row r="29" spans="1:38" ht="14.25" hidden="1" customHeight="1" x14ac:dyDescent="0.25">
      <c r="A29" s="29"/>
      <c r="M29" s="89">
        <v>1.5</v>
      </c>
      <c r="N29" s="30"/>
      <c r="AJ29" s="125"/>
      <c r="AK29" s="125"/>
      <c r="AL29" s="125"/>
    </row>
    <row r="30" spans="1:38" hidden="1" x14ac:dyDescent="0.25">
      <c r="A30" s="29"/>
      <c r="F30" s="9" t="e">
        <f>#REF!</f>
        <v>#REF!</v>
      </c>
      <c r="G30" s="9"/>
      <c r="H30" s="9"/>
      <c r="I30" s="9"/>
      <c r="J30" s="9"/>
      <c r="K30" s="9"/>
      <c r="L30" s="9"/>
      <c r="M30" s="130" t="e">
        <f>#REF!*$M$29</f>
        <v>#REF!</v>
      </c>
      <c r="N30" s="30"/>
    </row>
    <row r="31" spans="1:38" hidden="1" x14ac:dyDescent="0.25">
      <c r="A31" s="29"/>
      <c r="F31" s="214" t="e">
        <f>#REF!</f>
        <v>#REF!</v>
      </c>
      <c r="G31" s="214"/>
      <c r="H31" s="214"/>
      <c r="I31" s="214"/>
      <c r="J31" s="214"/>
      <c r="K31" s="214"/>
      <c r="L31" s="214"/>
      <c r="M31" s="91" t="e">
        <f>#REF!*$M$29</f>
        <v>#REF!</v>
      </c>
      <c r="N31" s="30"/>
    </row>
    <row r="32" spans="1:38" hidden="1" x14ac:dyDescent="0.25">
      <c r="A32" s="29"/>
      <c r="F32" s="9">
        <f>F12</f>
        <v>500</v>
      </c>
      <c r="G32" s="9"/>
      <c r="H32" s="9"/>
      <c r="I32" s="9"/>
      <c r="J32" s="9"/>
      <c r="K32" s="9"/>
      <c r="L32" s="9"/>
      <c r="M32" s="130">
        <f>M12*$M$29</f>
        <v>8.5249999999999986</v>
      </c>
      <c r="N32" s="30"/>
    </row>
    <row r="33" spans="1:37" hidden="1" x14ac:dyDescent="0.25">
      <c r="A33" s="29"/>
      <c r="M33" s="90" t="s">
        <v>62</v>
      </c>
      <c r="N33" s="30"/>
    </row>
    <row r="34" spans="1:37" hidden="1" x14ac:dyDescent="0.25">
      <c r="A34" s="29"/>
      <c r="M34" s="215" t="s">
        <v>92</v>
      </c>
      <c r="N34" s="30"/>
    </row>
    <row r="35" spans="1:37" hidden="1" x14ac:dyDescent="0.25">
      <c r="A35" s="29"/>
      <c r="M35" s="215"/>
      <c r="N35" s="30"/>
    </row>
    <row r="36" spans="1:37" hidden="1" x14ac:dyDescent="0.25">
      <c r="A36" s="29"/>
      <c r="M36" s="89">
        <v>2</v>
      </c>
      <c r="N36" s="30"/>
    </row>
    <row r="37" spans="1:37" hidden="1" x14ac:dyDescent="0.25">
      <c r="A37" s="29"/>
      <c r="F37" s="9" t="e">
        <f>#REF!</f>
        <v>#REF!</v>
      </c>
      <c r="G37" s="9"/>
      <c r="H37" s="9"/>
      <c r="I37" s="9"/>
      <c r="J37" s="9"/>
      <c r="K37" s="9"/>
      <c r="L37" s="9"/>
      <c r="M37" s="130" t="e">
        <f>#REF!*$M$36</f>
        <v>#REF!</v>
      </c>
      <c r="N37" s="30"/>
    </row>
    <row r="38" spans="1:37" hidden="1" x14ac:dyDescent="0.25">
      <c r="A38" s="29"/>
      <c r="F38" s="214" t="e">
        <f>#REF!</f>
        <v>#REF!</v>
      </c>
      <c r="G38" s="214"/>
      <c r="H38" s="214"/>
      <c r="I38" s="214"/>
      <c r="J38" s="214"/>
      <c r="K38" s="214"/>
      <c r="L38" s="214"/>
      <c r="M38" s="91" t="e">
        <f>#REF!*$M$36</f>
        <v>#REF!</v>
      </c>
      <c r="N38" s="30"/>
    </row>
    <row r="39" spans="1:37" hidden="1" x14ac:dyDescent="0.25">
      <c r="A39" s="29"/>
      <c r="F39" s="9">
        <f>F12</f>
        <v>500</v>
      </c>
      <c r="G39" s="9"/>
      <c r="H39" s="9"/>
      <c r="I39" s="9"/>
      <c r="J39" s="9"/>
      <c r="K39" s="9"/>
      <c r="L39" s="9"/>
      <c r="M39" s="130">
        <f>M12*$M$36</f>
        <v>11.366666666666665</v>
      </c>
      <c r="N39" s="30"/>
    </row>
    <row r="40" spans="1:37" hidden="1" x14ac:dyDescent="0.25">
      <c r="A40" s="29"/>
      <c r="M40" s="90" t="s">
        <v>62</v>
      </c>
      <c r="N40" s="30"/>
    </row>
    <row r="41" spans="1:37" hidden="1" x14ac:dyDescent="0.25">
      <c r="A41" s="31"/>
      <c r="B41" s="5"/>
      <c r="C41" s="5"/>
      <c r="D41" s="5"/>
      <c r="E41" s="5"/>
      <c r="F41" s="5"/>
      <c r="G41" s="5"/>
      <c r="H41" s="5"/>
      <c r="I41" s="5"/>
      <c r="J41" s="5"/>
      <c r="K41" s="216"/>
      <c r="L41" s="5"/>
      <c r="M41" s="217" t="s">
        <v>93</v>
      </c>
      <c r="N41" s="32"/>
    </row>
    <row r="42" spans="1:37" hidden="1" x14ac:dyDescent="0.25">
      <c r="V42" s="3"/>
      <c r="X42" s="141"/>
      <c r="Y42" s="18"/>
      <c r="Z42" s="18"/>
      <c r="AJ42" s="126"/>
      <c r="AK42" s="126"/>
    </row>
    <row r="43" spans="1:37" x14ac:dyDescent="0.25">
      <c r="V43" s="3"/>
      <c r="X43" s="141"/>
      <c r="Y43" s="18"/>
      <c r="Z43" s="18"/>
    </row>
    <row r="44" spans="1:37" x14ac:dyDescent="0.25">
      <c r="A44" s="166" t="s">
        <v>73</v>
      </c>
      <c r="B44" s="159">
        <f>'larger kit calc, sec per part'!F12</f>
        <v>500</v>
      </c>
      <c r="V44" s="3"/>
      <c r="X44" s="18"/>
      <c r="Y44" s="18"/>
      <c r="Z44" s="18"/>
    </row>
    <row r="45" spans="1:37" x14ac:dyDescent="0.25">
      <c r="V45" s="3"/>
      <c r="X45" s="18"/>
      <c r="Y45" s="18"/>
      <c r="Z45" s="18"/>
    </row>
    <row r="46" spans="1:37" x14ac:dyDescent="0.25">
      <c r="A46" s="17" t="s">
        <v>11</v>
      </c>
      <c r="B46" s="16" t="s">
        <v>12</v>
      </c>
      <c r="C46" s="16" t="s">
        <v>13</v>
      </c>
      <c r="D46" s="19" t="s">
        <v>14</v>
      </c>
      <c r="E46" s="16" t="s">
        <v>15</v>
      </c>
      <c r="F46" s="16" t="s">
        <v>16</v>
      </c>
      <c r="G46" s="16" t="s">
        <v>17</v>
      </c>
      <c r="H46" s="16" t="s">
        <v>18</v>
      </c>
      <c r="I46" s="133" t="s">
        <v>19</v>
      </c>
      <c r="J46" s="134" t="s">
        <v>20</v>
      </c>
      <c r="K46" s="47" t="s">
        <v>61</v>
      </c>
      <c r="L46" s="47" t="s">
        <v>21</v>
      </c>
      <c r="M46" s="16" t="s">
        <v>22</v>
      </c>
      <c r="N46" s="16"/>
      <c r="O46" s="16" t="s">
        <v>23</v>
      </c>
      <c r="P46" s="16"/>
      <c r="Q46" s="16" t="s">
        <v>24</v>
      </c>
      <c r="R46" s="16" t="s">
        <v>25</v>
      </c>
      <c r="S46" s="133" t="s">
        <v>33</v>
      </c>
      <c r="T46" s="19" t="s">
        <v>26</v>
      </c>
      <c r="U46" s="26" t="s">
        <v>30</v>
      </c>
      <c r="V46" s="3"/>
      <c r="W46" s="8" t="s">
        <v>31</v>
      </c>
      <c r="Y46" s="8" t="s">
        <v>32</v>
      </c>
    </row>
    <row r="47" spans="1:37" x14ac:dyDescent="0.25">
      <c r="A47" s="21">
        <v>8050</v>
      </c>
      <c r="B47" t="s">
        <v>242</v>
      </c>
      <c r="C47" s="2">
        <v>26.480000000000004</v>
      </c>
      <c r="D47">
        <v>50</v>
      </c>
      <c r="E47">
        <v>34</v>
      </c>
      <c r="F47">
        <v>79</v>
      </c>
      <c r="G47" s="44">
        <v>5.49</v>
      </c>
      <c r="H47" s="85">
        <v>9.7899999999999991</v>
      </c>
      <c r="I47" s="84">
        <v>15.28</v>
      </c>
      <c r="J47" s="2">
        <v>309.65391621129322</v>
      </c>
      <c r="K47" s="1">
        <v>103.79285697816515</v>
      </c>
      <c r="L47" s="1">
        <v>86.649214659685882</v>
      </c>
      <c r="M47" t="s">
        <v>238</v>
      </c>
      <c r="Q47" s="70">
        <v>43445</v>
      </c>
      <c r="R47" t="s">
        <v>237</v>
      </c>
      <c r="S47" s="3">
        <v>3950</v>
      </c>
      <c r="T47" s="44">
        <v>13.926075949367089</v>
      </c>
      <c r="U47" s="135">
        <v>0.33518987341772155</v>
      </c>
      <c r="V47" s="3"/>
      <c r="W47" s="2">
        <f>C47*D47</f>
        <v>1324.0000000000002</v>
      </c>
      <c r="Y47" s="1">
        <f>C47*(60/F47)</f>
        <v>20.111392405063295</v>
      </c>
    </row>
    <row r="48" spans="1:37" x14ac:dyDescent="0.25">
      <c r="A48" s="21">
        <v>8159</v>
      </c>
      <c r="B48" t="s">
        <v>239</v>
      </c>
      <c r="C48" s="2">
        <v>31.34</v>
      </c>
      <c r="D48">
        <v>100</v>
      </c>
      <c r="E48">
        <v>33</v>
      </c>
      <c r="F48">
        <v>40</v>
      </c>
      <c r="G48" s="44">
        <v>20.5</v>
      </c>
      <c r="H48" s="85">
        <v>16.333333333333336</v>
      </c>
      <c r="I48" s="84">
        <v>36.833333333333336</v>
      </c>
      <c r="J48" s="2">
        <v>160.97560975609755</v>
      </c>
      <c r="K48" s="1">
        <v>126.12439024390244</v>
      </c>
      <c r="L48" s="1">
        <v>85.085972850678729</v>
      </c>
      <c r="M48" t="s">
        <v>240</v>
      </c>
      <c r="Q48" s="70">
        <v>44512</v>
      </c>
      <c r="R48" t="s">
        <v>237</v>
      </c>
      <c r="S48" s="3">
        <v>4000</v>
      </c>
      <c r="T48" s="44">
        <v>33.15</v>
      </c>
      <c r="U48" s="135">
        <v>0.78349999999999997</v>
      </c>
      <c r="V48" s="3"/>
      <c r="W48" s="2">
        <f>C48*D48</f>
        <v>3134</v>
      </c>
      <c r="Y48" s="1">
        <f>C48*(60/F48)</f>
        <v>47.01</v>
      </c>
    </row>
    <row r="49" spans="1:26" x14ac:dyDescent="0.25">
      <c r="A49" s="21">
        <v>8159</v>
      </c>
      <c r="B49" t="s">
        <v>239</v>
      </c>
      <c r="C49" s="2">
        <v>31.34</v>
      </c>
      <c r="D49">
        <v>100</v>
      </c>
      <c r="E49">
        <v>33</v>
      </c>
      <c r="F49">
        <v>40</v>
      </c>
      <c r="G49" s="44">
        <v>15.5</v>
      </c>
      <c r="H49" s="85">
        <v>18.25</v>
      </c>
      <c r="I49" s="84">
        <v>33.75</v>
      </c>
      <c r="J49" s="2">
        <v>212.90322580645162</v>
      </c>
      <c r="K49" s="1">
        <v>166.80967741935484</v>
      </c>
      <c r="L49" s="1">
        <v>92.859259259259261</v>
      </c>
      <c r="M49" t="s">
        <v>240</v>
      </c>
      <c r="Q49" s="70">
        <v>45251</v>
      </c>
      <c r="R49" t="s">
        <v>237</v>
      </c>
      <c r="S49" s="3">
        <v>4000</v>
      </c>
      <c r="T49" s="44">
        <v>30.375</v>
      </c>
      <c r="U49" s="135">
        <v>0.78349999999999997</v>
      </c>
      <c r="V49" s="3"/>
      <c r="W49" s="2">
        <f>C49*D49</f>
        <v>3134</v>
      </c>
      <c r="Y49" s="1">
        <f>C49*(60/F49)</f>
        <v>47.01</v>
      </c>
    </row>
    <row r="50" spans="1:26" x14ac:dyDescent="0.25">
      <c r="A50" s="21">
        <v>6519</v>
      </c>
      <c r="B50" t="s">
        <v>243</v>
      </c>
      <c r="C50" s="2">
        <v>62.58</v>
      </c>
      <c r="D50">
        <v>50</v>
      </c>
      <c r="E50">
        <v>53</v>
      </c>
      <c r="F50">
        <v>81</v>
      </c>
      <c r="G50" s="44">
        <v>11.5</v>
      </c>
      <c r="H50" s="85">
        <v>14.003333333333334</v>
      </c>
      <c r="I50" s="84">
        <v>25.503333333333334</v>
      </c>
      <c r="J50" s="2">
        <v>230.43478260869566</v>
      </c>
      <c r="K50" s="1">
        <v>178.03220611916265</v>
      </c>
      <c r="L50" s="1">
        <v>122.68984446477585</v>
      </c>
      <c r="M50" t="s">
        <v>240</v>
      </c>
      <c r="N50" t="s">
        <v>244</v>
      </c>
      <c r="O50" t="s">
        <v>241</v>
      </c>
      <c r="Q50" s="70">
        <v>44909</v>
      </c>
      <c r="R50" t="s">
        <v>237</v>
      </c>
      <c r="S50" s="3">
        <v>4050</v>
      </c>
      <c r="T50" s="44">
        <v>22.669629629629629</v>
      </c>
      <c r="U50" s="135">
        <v>0.77259259259259261</v>
      </c>
      <c r="V50" s="3"/>
      <c r="W50" s="2">
        <f>C50*D50</f>
        <v>3129</v>
      </c>
      <c r="Y50" s="1">
        <f>C50*(60/F50)</f>
        <v>46.355555555555554</v>
      </c>
    </row>
    <row r="51" spans="1:26" x14ac:dyDescent="0.25">
      <c r="A51" s="27" t="s">
        <v>245</v>
      </c>
      <c r="B51" s="5" t="s">
        <v>246</v>
      </c>
      <c r="C51" s="6">
        <v>375</v>
      </c>
      <c r="D51" s="5">
        <v>4</v>
      </c>
      <c r="E51" s="5">
        <v>922</v>
      </c>
      <c r="F51" s="5">
        <v>1019</v>
      </c>
      <c r="G51" s="46">
        <v>54.17</v>
      </c>
      <c r="H51" s="132">
        <v>19</v>
      </c>
      <c r="I51" s="92">
        <v>73.17</v>
      </c>
      <c r="J51" s="6">
        <v>68.081964186819278</v>
      </c>
      <c r="K51" s="7">
        <v>25.054697320959004</v>
      </c>
      <c r="L51" s="7">
        <v>20.50020500205002</v>
      </c>
      <c r="M51" s="5" t="s">
        <v>238</v>
      </c>
      <c r="N51" s="5"/>
      <c r="O51" s="5"/>
      <c r="P51" s="5"/>
      <c r="Q51" s="136">
        <v>43281</v>
      </c>
      <c r="R51" s="5" t="s">
        <v>237</v>
      </c>
      <c r="S51" s="8">
        <v>4076</v>
      </c>
      <c r="T51" s="46">
        <v>64.625122669283613</v>
      </c>
      <c r="U51" s="137">
        <v>0.36800785083415111</v>
      </c>
      <c r="V51" s="3"/>
      <c r="W51" s="6">
        <f>C51*D51</f>
        <v>1500</v>
      </c>
      <c r="Y51" s="7">
        <f>C51*(60/F51)</f>
        <v>22.08047105004907</v>
      </c>
    </row>
    <row r="52" spans="1:26" x14ac:dyDescent="0.25">
      <c r="G52" s="87"/>
      <c r="H52" s="87"/>
      <c r="I52" s="93">
        <f>AVERAGE(I47:I51)</f>
        <v>36.907333333333341</v>
      </c>
      <c r="L52" s="43">
        <f>AVERAGE(L47:L51)</f>
        <v>81.556899247289934</v>
      </c>
      <c r="Q52" s="70"/>
      <c r="S52" s="45">
        <f>AVERAGE(S47:S51)</f>
        <v>4015.2</v>
      </c>
      <c r="T52" s="44">
        <f>AVERAGE(T47:T51)</f>
        <v>32.949165649656067</v>
      </c>
      <c r="U52" s="42">
        <f>AVERAGE(U47:U51)</f>
        <v>0.60855806336889307</v>
      </c>
      <c r="V52" s="3"/>
      <c r="W52" s="45">
        <f>AVERAGE(W47:W51)</f>
        <v>2444.1999999999998</v>
      </c>
      <c r="Y52" s="44">
        <f>AVERAGE(Y47:Y51)</f>
        <v>36.513483802133578</v>
      </c>
    </row>
    <row r="53" spans="1:26" x14ac:dyDescent="0.25">
      <c r="G53" s="88"/>
      <c r="H53" s="88"/>
      <c r="I53" s="71" t="s">
        <v>29</v>
      </c>
      <c r="L53" s="3" t="s">
        <v>29</v>
      </c>
      <c r="S53" s="3" t="s">
        <v>29</v>
      </c>
      <c r="T53" s="3" t="s">
        <v>29</v>
      </c>
      <c r="U53" s="3" t="s">
        <v>29</v>
      </c>
      <c r="V53" s="3"/>
      <c r="W53" s="3" t="s">
        <v>29</v>
      </c>
      <c r="Y53" s="3" t="s">
        <v>29</v>
      </c>
    </row>
    <row r="54" spans="1:26" x14ac:dyDescent="0.25">
      <c r="I54" s="69">
        <f>I52*S54/S52</f>
        <v>36.767616391047362</v>
      </c>
      <c r="L54" s="138">
        <f>K12</f>
        <v>100.29411764705881</v>
      </c>
      <c r="M54" t="s">
        <v>60</v>
      </c>
      <c r="S54" s="139">
        <f>H12</f>
        <v>4000</v>
      </c>
      <c r="U54" s="42">
        <f>U52*L54/L52</f>
        <v>0.74837070273504991</v>
      </c>
      <c r="V54" s="3"/>
      <c r="W54" s="45">
        <f>S54*U54</f>
        <v>2993.4828109401997</v>
      </c>
      <c r="Y54" s="44">
        <f>Y52*$L$54/$L$52</f>
        <v>44.902242164102987</v>
      </c>
    </row>
    <row r="55" spans="1:26" x14ac:dyDescent="0.25">
      <c r="J55" s="69"/>
      <c r="M55" s="138"/>
      <c r="T55" s="139"/>
      <c r="V55" s="42"/>
      <c r="X55" s="45"/>
      <c r="Z55" s="44"/>
    </row>
    <row r="56" spans="1:26" x14ac:dyDescent="0.25">
      <c r="A56" s="166" t="s">
        <v>73</v>
      </c>
      <c r="B56" s="159">
        <f>'larger kit calc, sec per part'!F22</f>
        <v>1000</v>
      </c>
      <c r="J56" s="69"/>
      <c r="M56" s="138"/>
      <c r="T56" s="139"/>
      <c r="V56" s="42"/>
      <c r="X56" s="45"/>
      <c r="Z56" s="44"/>
    </row>
    <row r="58" spans="1:26" x14ac:dyDescent="0.25">
      <c r="A58" s="17" t="s">
        <v>11</v>
      </c>
      <c r="B58" s="16" t="s">
        <v>12</v>
      </c>
      <c r="C58" s="16" t="s">
        <v>13</v>
      </c>
      <c r="D58" s="19" t="s">
        <v>14</v>
      </c>
      <c r="E58" s="16" t="s">
        <v>15</v>
      </c>
      <c r="F58" s="16" t="s">
        <v>16</v>
      </c>
      <c r="G58" s="16" t="s">
        <v>17</v>
      </c>
      <c r="H58" s="16" t="s">
        <v>18</v>
      </c>
      <c r="I58" s="133" t="s">
        <v>19</v>
      </c>
      <c r="J58" s="134" t="s">
        <v>20</v>
      </c>
      <c r="K58" s="47" t="s">
        <v>61</v>
      </c>
      <c r="L58" s="47" t="s">
        <v>21</v>
      </c>
      <c r="M58" s="16" t="s">
        <v>22</v>
      </c>
      <c r="N58" s="16"/>
      <c r="O58" s="16" t="s">
        <v>23</v>
      </c>
      <c r="P58" s="16"/>
      <c r="Q58" s="16" t="s">
        <v>24</v>
      </c>
      <c r="R58" s="16" t="s">
        <v>25</v>
      </c>
      <c r="S58" s="133" t="s">
        <v>33</v>
      </c>
      <c r="T58" s="19" t="s">
        <v>26</v>
      </c>
      <c r="U58" s="26" t="s">
        <v>30</v>
      </c>
      <c r="V58" s="3"/>
      <c r="W58" s="8" t="s">
        <v>31</v>
      </c>
      <c r="Y58" s="151" t="s">
        <v>32</v>
      </c>
    </row>
    <row r="59" spans="1:26" x14ac:dyDescent="0.25">
      <c r="A59" s="65" t="s">
        <v>247</v>
      </c>
      <c r="B59" t="s">
        <v>248</v>
      </c>
      <c r="C59">
        <v>101.83</v>
      </c>
      <c r="D59" s="3">
        <v>35</v>
      </c>
      <c r="E59">
        <v>222</v>
      </c>
      <c r="F59">
        <v>223</v>
      </c>
      <c r="G59">
        <v>52.42</v>
      </c>
      <c r="H59">
        <v>0.12</v>
      </c>
      <c r="I59" s="65">
        <v>52.54</v>
      </c>
      <c r="J59" s="2">
        <v>148.22586798931704</v>
      </c>
      <c r="K59" s="1">
        <v>67.685381781848236</v>
      </c>
      <c r="L59" s="1">
        <v>67.834982870194139</v>
      </c>
      <c r="M59" t="s">
        <v>240</v>
      </c>
      <c r="N59" t="s">
        <v>244</v>
      </c>
      <c r="Q59">
        <v>43637</v>
      </c>
      <c r="R59" t="s">
        <v>237</v>
      </c>
      <c r="S59" s="65">
        <v>7805</v>
      </c>
      <c r="T59" s="3">
        <v>24.233696348494554</v>
      </c>
      <c r="U59" s="143">
        <v>0.45663677130044844</v>
      </c>
      <c r="V59" s="3"/>
      <c r="W59" s="2">
        <f>C59*D59</f>
        <v>3564.0499999999997</v>
      </c>
      <c r="Y59" s="1">
        <f>C59*(60/F59)</f>
        <v>27.398206278026905</v>
      </c>
    </row>
    <row r="60" spans="1:26" x14ac:dyDescent="0.25">
      <c r="A60" s="65">
        <v>8037</v>
      </c>
      <c r="B60" t="s">
        <v>249</v>
      </c>
      <c r="C60">
        <v>24.5</v>
      </c>
      <c r="D60" s="3">
        <v>106</v>
      </c>
      <c r="E60">
        <v>70</v>
      </c>
      <c r="F60">
        <v>74</v>
      </c>
      <c r="G60">
        <v>19.78</v>
      </c>
      <c r="H60">
        <v>8.15</v>
      </c>
      <c r="I60" s="65">
        <v>27.93</v>
      </c>
      <c r="J60" s="2">
        <v>375.12639029322548</v>
      </c>
      <c r="K60" s="1">
        <v>124.19725084032466</v>
      </c>
      <c r="L60" s="1">
        <v>92.982456140350877</v>
      </c>
      <c r="M60" t="s">
        <v>238</v>
      </c>
      <c r="Q60">
        <v>43329</v>
      </c>
      <c r="R60" t="s">
        <v>237</v>
      </c>
      <c r="S60" s="65">
        <v>7844</v>
      </c>
      <c r="T60" s="3">
        <v>12.818459969403365</v>
      </c>
      <c r="U60" s="144">
        <v>0.33108108108108109</v>
      </c>
      <c r="V60" s="3"/>
      <c r="W60" s="2">
        <f>C60*D60</f>
        <v>2597</v>
      </c>
      <c r="Y60" s="1">
        <f>C60*(60/F60)</f>
        <v>19.864864864864867</v>
      </c>
    </row>
    <row r="61" spans="1:26" x14ac:dyDescent="0.25">
      <c r="A61" s="65" t="s">
        <v>250</v>
      </c>
      <c r="B61" t="s">
        <v>251</v>
      </c>
      <c r="C61">
        <v>9</v>
      </c>
      <c r="D61" s="3">
        <v>1000</v>
      </c>
      <c r="E61">
        <v>7</v>
      </c>
      <c r="F61">
        <v>8</v>
      </c>
      <c r="G61">
        <v>12.88</v>
      </c>
      <c r="H61">
        <v>13.17</v>
      </c>
      <c r="I61" s="65">
        <v>26.05</v>
      </c>
      <c r="J61" s="2">
        <v>543.47826086956513</v>
      </c>
      <c r="K61" s="1">
        <v>611.41304347826087</v>
      </c>
      <c r="L61" s="1">
        <v>345.48944337811901</v>
      </c>
      <c r="M61" t="s">
        <v>240</v>
      </c>
      <c r="N61" t="s">
        <v>244</v>
      </c>
      <c r="Q61">
        <v>43253</v>
      </c>
      <c r="R61" t="s">
        <v>237</v>
      </c>
      <c r="S61" s="65">
        <v>8000</v>
      </c>
      <c r="T61" s="3">
        <v>11.7225</v>
      </c>
      <c r="U61" s="144">
        <v>1.125</v>
      </c>
      <c r="V61" s="3"/>
      <c r="W61" s="2">
        <f>C61*D61</f>
        <v>9000</v>
      </c>
      <c r="Y61" s="1">
        <f>C61*(60/F61)</f>
        <v>67.5</v>
      </c>
    </row>
    <row r="62" spans="1:26" x14ac:dyDescent="0.25">
      <c r="A62" s="65" t="s">
        <v>250</v>
      </c>
      <c r="B62" t="s">
        <v>251</v>
      </c>
      <c r="C62">
        <v>9</v>
      </c>
      <c r="D62" s="3">
        <v>1000</v>
      </c>
      <c r="E62">
        <v>7</v>
      </c>
      <c r="F62">
        <v>8</v>
      </c>
      <c r="G62">
        <v>16.63</v>
      </c>
      <c r="H62">
        <v>4</v>
      </c>
      <c r="I62" s="65">
        <v>20.63</v>
      </c>
      <c r="J62" s="2">
        <v>420.92603728202045</v>
      </c>
      <c r="K62" s="1">
        <v>473.54179194227305</v>
      </c>
      <c r="L62" s="1">
        <v>436.25787687833252</v>
      </c>
      <c r="M62" t="s">
        <v>240</v>
      </c>
      <c r="N62" t="s">
        <v>244</v>
      </c>
      <c r="Q62">
        <v>43606</v>
      </c>
      <c r="R62" t="s">
        <v>237</v>
      </c>
      <c r="S62" s="65">
        <v>8000</v>
      </c>
      <c r="T62" s="3">
        <v>9.2835000000000001</v>
      </c>
      <c r="U62" s="144">
        <v>1.125</v>
      </c>
      <c r="V62" s="3"/>
      <c r="W62" s="2">
        <f>C62*D62</f>
        <v>9000</v>
      </c>
      <c r="Y62" s="1">
        <f>C62*(60/F62)</f>
        <v>67.5</v>
      </c>
    </row>
    <row r="63" spans="1:26" x14ac:dyDescent="0.25">
      <c r="A63" s="73" t="s">
        <v>252</v>
      </c>
      <c r="B63" s="5" t="s">
        <v>253</v>
      </c>
      <c r="C63" s="5">
        <v>4.68</v>
      </c>
      <c r="D63" s="8">
        <v>500</v>
      </c>
      <c r="E63" s="5">
        <v>14</v>
      </c>
      <c r="F63" s="5">
        <v>16</v>
      </c>
      <c r="G63" s="5">
        <v>15.05</v>
      </c>
      <c r="H63" s="5">
        <v>22.67</v>
      </c>
      <c r="I63" s="73">
        <v>37.72</v>
      </c>
      <c r="J63" s="6">
        <v>465.11627906976742</v>
      </c>
      <c r="K63" s="7">
        <v>136.04651162790697</v>
      </c>
      <c r="L63" s="7">
        <v>62.036055143160127</v>
      </c>
      <c r="M63" s="5" t="s">
        <v>240</v>
      </c>
      <c r="N63" s="5"/>
      <c r="O63" s="5"/>
      <c r="P63" s="5"/>
      <c r="Q63" s="5">
        <v>43866</v>
      </c>
      <c r="R63" s="5" t="s">
        <v>237</v>
      </c>
      <c r="S63" s="73">
        <v>8000</v>
      </c>
      <c r="T63" s="8">
        <v>16.974</v>
      </c>
      <c r="U63" s="142">
        <v>0.29249999999999998</v>
      </c>
      <c r="V63" s="3"/>
      <c r="W63" s="6">
        <f>C63*D63</f>
        <v>2340</v>
      </c>
      <c r="Y63" s="7">
        <f>C63*(60/F63)</f>
        <v>17.549999999999997</v>
      </c>
    </row>
    <row r="64" spans="1:26" x14ac:dyDescent="0.25">
      <c r="G64" s="87"/>
      <c r="H64" s="87"/>
      <c r="I64" s="93">
        <f>AVERAGE(I59:I63)</f>
        <v>32.974000000000004</v>
      </c>
      <c r="L64" s="43">
        <f>AVERAGE(L59:L63)</f>
        <v>200.92016288203135</v>
      </c>
      <c r="Q64" s="70"/>
      <c r="S64" s="45">
        <f>AVERAGE(S59:S63)</f>
        <v>7929.8</v>
      </c>
      <c r="T64" s="44">
        <f>AVERAGE(T59:T63)</f>
        <v>15.006431263579586</v>
      </c>
      <c r="U64" s="42">
        <f>AVERAGE(U59:U63)</f>
        <v>0.66604357047630591</v>
      </c>
      <c r="V64" s="3"/>
      <c r="W64" s="45">
        <f>AVERAGE(W59:W63)</f>
        <v>5300.21</v>
      </c>
      <c r="Y64" s="44">
        <f>AVERAGE(Y59:Y63)</f>
        <v>39.962614228578353</v>
      </c>
    </row>
    <row r="65" spans="1:25" x14ac:dyDescent="0.25">
      <c r="G65" s="88"/>
      <c r="H65" s="88"/>
      <c r="I65" s="71" t="s">
        <v>29</v>
      </c>
      <c r="L65" s="3" t="s">
        <v>29</v>
      </c>
      <c r="S65" s="3" t="s">
        <v>29</v>
      </c>
      <c r="T65" s="3" t="s">
        <v>29</v>
      </c>
      <c r="U65" s="3" t="s">
        <v>29</v>
      </c>
      <c r="V65" s="3"/>
      <c r="W65" s="3" t="s">
        <v>29</v>
      </c>
      <c r="Y65" s="3" t="s">
        <v>29</v>
      </c>
    </row>
    <row r="66" spans="1:25" x14ac:dyDescent="0.25">
      <c r="I66" s="69">
        <f>I64*S66/S64</f>
        <v>33.26590834573382</v>
      </c>
      <c r="L66" s="138">
        <f>K13</f>
        <v>95.599262446220038</v>
      </c>
      <c r="M66" t="s">
        <v>60</v>
      </c>
      <c r="S66" s="139">
        <f>H13</f>
        <v>8000</v>
      </c>
      <c r="U66" s="42">
        <f>U64*L66/L64</f>
        <v>0.31690833404294555</v>
      </c>
      <c r="V66" s="3"/>
      <c r="W66" s="45">
        <f>S66*U66</f>
        <v>2535.2666723435646</v>
      </c>
      <c r="Y66" s="44">
        <f>Y64*$L$54/$L$52</f>
        <v>49.143790040034496</v>
      </c>
    </row>
    <row r="67" spans="1:25" x14ac:dyDescent="0.25">
      <c r="V67" s="3"/>
      <c r="W67"/>
    </row>
    <row r="68" spans="1:25" x14ac:dyDescent="0.25">
      <c r="V68" s="3"/>
      <c r="W68"/>
    </row>
    <row r="69" spans="1:25" x14ac:dyDescent="0.25">
      <c r="A69" s="166" t="s">
        <v>73</v>
      </c>
      <c r="B69" s="159">
        <f>'larger kit calc, sec per part'!F32</f>
        <v>5000</v>
      </c>
      <c r="I69" s="69"/>
      <c r="L69" s="138"/>
      <c r="S69" s="139"/>
      <c r="U69" s="42"/>
      <c r="V69" s="3"/>
      <c r="W69" s="45"/>
      <c r="Y69" s="44"/>
    </row>
    <row r="70" spans="1:25" x14ac:dyDescent="0.25">
      <c r="V70" s="3"/>
      <c r="W70"/>
    </row>
    <row r="71" spans="1:25" x14ac:dyDescent="0.25">
      <c r="A71" s="17" t="s">
        <v>11</v>
      </c>
      <c r="B71" s="16" t="s">
        <v>12</v>
      </c>
      <c r="C71" s="16" t="s">
        <v>13</v>
      </c>
      <c r="D71" s="19" t="s">
        <v>14</v>
      </c>
      <c r="E71" s="16" t="s">
        <v>15</v>
      </c>
      <c r="F71" s="16" t="s">
        <v>16</v>
      </c>
      <c r="G71" s="16" t="s">
        <v>17</v>
      </c>
      <c r="H71" s="16" t="s">
        <v>18</v>
      </c>
      <c r="I71" s="133" t="s">
        <v>19</v>
      </c>
      <c r="J71" s="134" t="s">
        <v>20</v>
      </c>
      <c r="K71" s="47" t="s">
        <v>61</v>
      </c>
      <c r="L71" s="47" t="s">
        <v>21</v>
      </c>
      <c r="M71" s="16" t="s">
        <v>22</v>
      </c>
      <c r="N71" s="16"/>
      <c r="O71" s="16" t="s">
        <v>23</v>
      </c>
      <c r="P71" s="16"/>
      <c r="Q71" s="16" t="s">
        <v>24</v>
      </c>
      <c r="R71" s="16" t="s">
        <v>25</v>
      </c>
      <c r="S71" s="133" t="s">
        <v>33</v>
      </c>
      <c r="T71" s="19" t="s">
        <v>26</v>
      </c>
      <c r="U71" s="26" t="s">
        <v>30</v>
      </c>
      <c r="V71" s="3"/>
      <c r="W71" s="8" t="s">
        <v>31</v>
      </c>
      <c r="Y71" s="151" t="s">
        <v>32</v>
      </c>
    </row>
    <row r="72" spans="1:25" x14ac:dyDescent="0.25">
      <c r="A72" s="65">
        <v>7946</v>
      </c>
      <c r="B72" t="s">
        <v>254</v>
      </c>
      <c r="C72">
        <v>36.799999999999997</v>
      </c>
      <c r="D72" s="3">
        <v>252</v>
      </c>
      <c r="E72">
        <v>138</v>
      </c>
      <c r="F72">
        <v>156</v>
      </c>
      <c r="G72">
        <v>32.5</v>
      </c>
      <c r="H72">
        <v>42.95</v>
      </c>
      <c r="I72" s="65">
        <v>75.45</v>
      </c>
      <c r="J72" s="2">
        <v>1070.0307692307692</v>
      </c>
      <c r="K72" s="1">
        <v>252.41751479289937</v>
      </c>
      <c r="L72" s="1">
        <v>122.91053677932403</v>
      </c>
      <c r="M72" t="s">
        <v>240</v>
      </c>
      <c r="O72" t="s">
        <v>255</v>
      </c>
      <c r="Q72">
        <v>45096</v>
      </c>
      <c r="R72" t="s">
        <v>237</v>
      </c>
      <c r="S72" s="65">
        <v>39312</v>
      </c>
      <c r="T72" s="3">
        <v>6.9093406593406597</v>
      </c>
      <c r="U72" s="143">
        <v>0.23589743589743589</v>
      </c>
      <c r="V72" s="3"/>
      <c r="W72" s="2">
        <f>C72*D72</f>
        <v>9273.5999999999985</v>
      </c>
      <c r="Y72" s="1">
        <f>C72*(60/F72)</f>
        <v>14.153846153846153</v>
      </c>
    </row>
    <row r="73" spans="1:25" x14ac:dyDescent="0.25">
      <c r="A73" s="65">
        <v>8239</v>
      </c>
      <c r="B73" t="s">
        <v>256</v>
      </c>
      <c r="C73">
        <v>17</v>
      </c>
      <c r="D73" s="3">
        <v>360</v>
      </c>
      <c r="E73">
        <v>108</v>
      </c>
      <c r="F73">
        <v>111</v>
      </c>
      <c r="G73">
        <v>36</v>
      </c>
      <c r="H73">
        <v>29.5</v>
      </c>
      <c r="I73" s="65">
        <v>65.5</v>
      </c>
      <c r="J73" s="2">
        <v>1080</v>
      </c>
      <c r="K73" s="1">
        <v>165.40540540540542</v>
      </c>
      <c r="L73" s="1">
        <v>93.435114503816791</v>
      </c>
      <c r="M73" t="s">
        <v>240</v>
      </c>
      <c r="N73" t="s">
        <v>244</v>
      </c>
      <c r="O73" t="s">
        <v>257</v>
      </c>
      <c r="Q73">
        <v>43615</v>
      </c>
      <c r="R73" t="s">
        <v>237</v>
      </c>
      <c r="S73" s="65">
        <v>39960</v>
      </c>
      <c r="T73" s="3">
        <v>5.9009009009009006</v>
      </c>
      <c r="U73" s="144">
        <v>0.15315315315315314</v>
      </c>
      <c r="V73" s="3"/>
      <c r="W73" s="2">
        <f>C73*D73</f>
        <v>6120</v>
      </c>
      <c r="Y73" s="1">
        <f>C73*(60/F73)</f>
        <v>9.1891891891891895</v>
      </c>
    </row>
    <row r="74" spans="1:25" x14ac:dyDescent="0.25">
      <c r="A74" s="65">
        <v>8033</v>
      </c>
      <c r="B74" t="s">
        <v>258</v>
      </c>
      <c r="C74">
        <v>58.29</v>
      </c>
      <c r="D74" s="3">
        <v>202</v>
      </c>
      <c r="E74">
        <v>202</v>
      </c>
      <c r="F74">
        <v>203</v>
      </c>
      <c r="G74">
        <v>80</v>
      </c>
      <c r="H74">
        <v>21.733333333333334</v>
      </c>
      <c r="I74" s="65">
        <v>101.73333333333333</v>
      </c>
      <c r="J74" s="2">
        <v>510.05</v>
      </c>
      <c r="K74" s="1">
        <v>146.45721428571429</v>
      </c>
      <c r="L74" s="1">
        <v>115.73964613368283</v>
      </c>
      <c r="M74" t="s">
        <v>240</v>
      </c>
      <c r="Q74">
        <v>44820</v>
      </c>
      <c r="R74" t="s">
        <v>237</v>
      </c>
      <c r="S74" s="65">
        <v>41006</v>
      </c>
      <c r="T74" s="3">
        <v>8.9313758962103105</v>
      </c>
      <c r="U74" s="144">
        <v>0.28714285714285714</v>
      </c>
      <c r="V74" s="3"/>
      <c r="W74" s="2">
        <f>C74*D74</f>
        <v>11774.58</v>
      </c>
      <c r="Y74" s="1">
        <f>C74*(60/F74)</f>
        <v>17.228571428571431</v>
      </c>
    </row>
    <row r="75" spans="1:25" x14ac:dyDescent="0.25">
      <c r="A75" s="65" t="s">
        <v>259</v>
      </c>
      <c r="B75" t="s">
        <v>260</v>
      </c>
      <c r="C75">
        <v>85.73</v>
      </c>
      <c r="D75" s="3">
        <v>100</v>
      </c>
      <c r="E75">
        <v>349</v>
      </c>
      <c r="F75">
        <v>418</v>
      </c>
      <c r="G75">
        <v>50.25</v>
      </c>
      <c r="H75">
        <v>77.733333333333334</v>
      </c>
      <c r="I75" s="65">
        <v>127.98333333333333</v>
      </c>
      <c r="J75" s="2">
        <v>694.5273631840796</v>
      </c>
      <c r="K75" s="1">
        <v>142.44457140136637</v>
      </c>
      <c r="L75" s="1">
        <v>66.9852845422581</v>
      </c>
      <c r="M75" t="s">
        <v>240</v>
      </c>
      <c r="Q75">
        <v>44987</v>
      </c>
      <c r="R75" t="s">
        <v>237</v>
      </c>
      <c r="S75" s="65">
        <v>41800</v>
      </c>
      <c r="T75" s="3">
        <v>11.022488038277512</v>
      </c>
      <c r="U75" s="144">
        <v>0.2050956937799043</v>
      </c>
      <c r="V75" s="3"/>
      <c r="W75" s="2">
        <f>C75*D75</f>
        <v>8573</v>
      </c>
      <c r="Y75" s="1">
        <f>C75*(60/F75)</f>
        <v>12.305741626794259</v>
      </c>
    </row>
    <row r="76" spans="1:25" x14ac:dyDescent="0.25">
      <c r="A76" s="73" t="s">
        <v>259</v>
      </c>
      <c r="B76" s="5" t="s">
        <v>260</v>
      </c>
      <c r="C76" s="5">
        <v>77.58</v>
      </c>
      <c r="D76" s="8">
        <v>100</v>
      </c>
      <c r="E76" s="5">
        <v>349</v>
      </c>
      <c r="F76" s="5">
        <v>418</v>
      </c>
      <c r="G76" s="5">
        <v>50.25</v>
      </c>
      <c r="H76" s="5">
        <v>73.233333333333334</v>
      </c>
      <c r="I76" s="73">
        <v>123.48333333333333</v>
      </c>
      <c r="J76" s="6">
        <v>694.5273631840796</v>
      </c>
      <c r="K76" s="7">
        <v>128.90294936799256</v>
      </c>
      <c r="L76" s="7">
        <v>62.826292347145362</v>
      </c>
      <c r="M76" s="5" t="s">
        <v>240</v>
      </c>
      <c r="N76" s="5"/>
      <c r="O76" s="5"/>
      <c r="P76" s="5"/>
      <c r="Q76" s="5">
        <v>45006</v>
      </c>
      <c r="R76" s="5" t="s">
        <v>237</v>
      </c>
      <c r="S76" s="73">
        <v>41800</v>
      </c>
      <c r="T76" s="8">
        <v>10.634928229665071</v>
      </c>
      <c r="U76" s="142">
        <v>0.1855980861244019</v>
      </c>
      <c r="V76" s="3"/>
      <c r="W76" s="6">
        <f>C76*D76</f>
        <v>7758</v>
      </c>
      <c r="Y76" s="7">
        <f>C76*(60/F76)</f>
        <v>11.135885167464114</v>
      </c>
    </row>
    <row r="77" spans="1:25" x14ac:dyDescent="0.25">
      <c r="G77" s="87"/>
      <c r="H77" s="87"/>
      <c r="I77" s="93">
        <f>AVERAGE(I72:I76)</f>
        <v>98.830000000000013</v>
      </c>
      <c r="L77" s="43">
        <f>AVERAGE(L72:L76)</f>
        <v>92.379374861245424</v>
      </c>
      <c r="Q77" s="70"/>
      <c r="S77" s="45">
        <f>AVERAGE(S72:S76)</f>
        <v>40775.599999999999</v>
      </c>
      <c r="T77" s="44">
        <f>AVERAGE(T72:T76)</f>
        <v>8.6798067448788903</v>
      </c>
      <c r="U77" s="42">
        <f>AVERAGE(U72:U76)</f>
        <v>0.21337744521955049</v>
      </c>
      <c r="V77" s="3"/>
      <c r="W77" s="45">
        <f>AVERAGE(W72:W76)</f>
        <v>8699.8359999999993</v>
      </c>
      <c r="Y77" s="44">
        <f>AVERAGE(Y72:Y76)</f>
        <v>12.802646713173029</v>
      </c>
    </row>
    <row r="78" spans="1:25" x14ac:dyDescent="0.25">
      <c r="G78" s="88"/>
      <c r="H78" s="88"/>
      <c r="I78" s="71" t="s">
        <v>29</v>
      </c>
      <c r="L78" s="3" t="s">
        <v>29</v>
      </c>
      <c r="S78" s="3" t="s">
        <v>29</v>
      </c>
      <c r="T78" s="3" t="s">
        <v>29</v>
      </c>
      <c r="U78" s="3" t="s">
        <v>29</v>
      </c>
      <c r="V78" s="3"/>
      <c r="W78" s="3" t="s">
        <v>29</v>
      </c>
      <c r="Y78" s="3" t="s">
        <v>29</v>
      </c>
    </row>
    <row r="79" spans="1:25" x14ac:dyDescent="0.25">
      <c r="I79" s="69">
        <f>I77*S79/S77</f>
        <v>96.950136846545504</v>
      </c>
      <c r="L79" s="138">
        <f>K14</f>
        <v>92.697970740915537</v>
      </c>
      <c r="M79" t="s">
        <v>60</v>
      </c>
      <c r="S79" s="139">
        <f>H14</f>
        <v>40000</v>
      </c>
      <c r="U79" s="42">
        <f>U77*L79/L77</f>
        <v>0.21411333648276365</v>
      </c>
      <c r="V79" s="3"/>
      <c r="W79" s="45">
        <f>S79*U79</f>
        <v>8564.5334593105454</v>
      </c>
      <c r="Y79" s="44">
        <f>Y77*$L$54/$L$52</f>
        <v>15.743979571260782</v>
      </c>
    </row>
    <row r="80" spans="1:25" x14ac:dyDescent="0.25">
      <c r="V80" s="3"/>
      <c r="W80"/>
    </row>
    <row r="81" spans="1:25" x14ac:dyDescent="0.25">
      <c r="V81" s="3"/>
      <c r="W81"/>
    </row>
    <row r="82" spans="1:25" x14ac:dyDescent="0.25">
      <c r="A82" s="166" t="s">
        <v>73</v>
      </c>
      <c r="B82" s="159">
        <f>'larger kit calc, sec per part'!F42</f>
        <v>10000</v>
      </c>
      <c r="I82" s="69"/>
      <c r="L82" s="138"/>
      <c r="S82" s="139"/>
      <c r="U82" s="42"/>
      <c r="V82" s="3"/>
      <c r="W82" s="45"/>
      <c r="Y82" s="44"/>
    </row>
    <row r="83" spans="1:25" x14ac:dyDescent="0.25">
      <c r="V83" s="3"/>
      <c r="W83"/>
    </row>
    <row r="84" spans="1:25" x14ac:dyDescent="0.25">
      <c r="A84" s="17" t="s">
        <v>11</v>
      </c>
      <c r="B84" s="16" t="s">
        <v>12</v>
      </c>
      <c r="C84" s="16" t="s">
        <v>13</v>
      </c>
      <c r="D84" s="19" t="s">
        <v>14</v>
      </c>
      <c r="E84" s="16" t="s">
        <v>15</v>
      </c>
      <c r="F84" s="16" t="s">
        <v>16</v>
      </c>
      <c r="G84" s="16" t="s">
        <v>17</v>
      </c>
      <c r="H84" s="16" t="s">
        <v>18</v>
      </c>
      <c r="I84" s="133" t="s">
        <v>19</v>
      </c>
      <c r="J84" s="134" t="s">
        <v>20</v>
      </c>
      <c r="K84" s="47" t="s">
        <v>61</v>
      </c>
      <c r="L84" s="47" t="s">
        <v>21</v>
      </c>
      <c r="M84" s="16" t="s">
        <v>22</v>
      </c>
      <c r="N84" s="16"/>
      <c r="O84" s="16" t="s">
        <v>23</v>
      </c>
      <c r="P84" s="16"/>
      <c r="Q84" s="16" t="s">
        <v>24</v>
      </c>
      <c r="R84" s="16" t="s">
        <v>25</v>
      </c>
      <c r="S84" s="133" t="s">
        <v>33</v>
      </c>
      <c r="T84" s="19" t="s">
        <v>26</v>
      </c>
      <c r="U84" s="26" t="s">
        <v>30</v>
      </c>
      <c r="V84" s="3"/>
      <c r="W84" s="8" t="s">
        <v>31</v>
      </c>
      <c r="Y84" s="151" t="s">
        <v>32</v>
      </c>
    </row>
    <row r="85" spans="1:25" x14ac:dyDescent="0.25">
      <c r="A85" s="65" t="s">
        <v>261</v>
      </c>
      <c r="B85" t="s">
        <v>262</v>
      </c>
      <c r="C85">
        <v>139.5</v>
      </c>
      <c r="D85" s="3">
        <v>108</v>
      </c>
      <c r="E85">
        <v>606</v>
      </c>
      <c r="F85">
        <v>628</v>
      </c>
      <c r="G85">
        <v>78.16</v>
      </c>
      <c r="H85">
        <v>39.65</v>
      </c>
      <c r="I85" s="65">
        <v>117.81</v>
      </c>
      <c r="J85" s="2">
        <v>837.35926305015357</v>
      </c>
      <c r="K85" s="1">
        <v>186.00575986544018</v>
      </c>
      <c r="L85" s="1">
        <v>127.88388082505729</v>
      </c>
      <c r="M85" t="s">
        <v>240</v>
      </c>
      <c r="N85" t="s">
        <v>244</v>
      </c>
      <c r="Q85">
        <v>43619</v>
      </c>
      <c r="R85" t="s">
        <v>237</v>
      </c>
      <c r="S85" s="65">
        <v>67824</v>
      </c>
      <c r="T85" s="3">
        <v>6.2531847133757958</v>
      </c>
      <c r="U85" s="143">
        <v>0.22213375796178345</v>
      </c>
      <c r="V85" s="3"/>
      <c r="W85" s="2">
        <f>C85*D85</f>
        <v>15066</v>
      </c>
      <c r="Y85" s="1">
        <f>C85*(60/F85)</f>
        <v>13.328025477707007</v>
      </c>
    </row>
    <row r="86" spans="1:25" x14ac:dyDescent="0.25">
      <c r="A86" s="65" t="s">
        <v>263</v>
      </c>
      <c r="B86" t="s">
        <v>264</v>
      </c>
      <c r="C86">
        <v>36</v>
      </c>
      <c r="D86" s="3">
        <v>300</v>
      </c>
      <c r="E86">
        <v>222</v>
      </c>
      <c r="F86">
        <v>266</v>
      </c>
      <c r="G86">
        <v>129.02000000000001</v>
      </c>
      <c r="H86">
        <v>198</v>
      </c>
      <c r="I86" s="65">
        <v>327.02</v>
      </c>
      <c r="J86" s="2">
        <v>516.19903890869625</v>
      </c>
      <c r="K86" s="1">
        <v>69.86152406283108</v>
      </c>
      <c r="L86" s="1">
        <v>33.025503027337777</v>
      </c>
      <c r="M86" t="s">
        <v>238</v>
      </c>
      <c r="Q86">
        <v>43306</v>
      </c>
      <c r="R86" t="s">
        <v>237</v>
      </c>
      <c r="S86" s="65">
        <v>79800</v>
      </c>
      <c r="T86" s="3">
        <v>14.752781954887219</v>
      </c>
      <c r="U86" s="144">
        <v>0.13533834586466165</v>
      </c>
      <c r="V86" s="3"/>
      <c r="W86" s="2">
        <f>C86*D86</f>
        <v>10800</v>
      </c>
      <c r="Y86" s="1">
        <f>C86*(60/F86)</f>
        <v>8.1203007518796984</v>
      </c>
    </row>
    <row r="87" spans="1:25" x14ac:dyDescent="0.25">
      <c r="A87" s="65" t="s">
        <v>265</v>
      </c>
      <c r="B87" t="s">
        <v>264</v>
      </c>
      <c r="C87">
        <v>0.75</v>
      </c>
      <c r="D87" s="3">
        <v>10000</v>
      </c>
      <c r="E87">
        <v>9</v>
      </c>
      <c r="F87">
        <v>9</v>
      </c>
      <c r="G87">
        <v>65.44</v>
      </c>
      <c r="H87">
        <v>65</v>
      </c>
      <c r="I87" s="65">
        <v>130.44</v>
      </c>
      <c r="J87" s="2">
        <v>1375.3056234718827</v>
      </c>
      <c r="K87" s="1">
        <v>114.60880195599022</v>
      </c>
      <c r="L87" s="1">
        <v>57.497700091996322</v>
      </c>
      <c r="M87" t="s">
        <v>238</v>
      </c>
      <c r="Q87">
        <v>43307</v>
      </c>
      <c r="R87" t="s">
        <v>237</v>
      </c>
      <c r="S87" s="65">
        <v>90000</v>
      </c>
      <c r="T87" s="3">
        <v>5.2176</v>
      </c>
      <c r="U87" s="144">
        <v>8.3333333333333329E-2</v>
      </c>
      <c r="V87" s="3"/>
      <c r="W87" s="2">
        <f>C87*D87</f>
        <v>7500</v>
      </c>
      <c r="Y87" s="1">
        <f>C87*(60/F87)</f>
        <v>5</v>
      </c>
    </row>
    <row r="88" spans="1:25" x14ac:dyDescent="0.25">
      <c r="A88" s="65" t="s">
        <v>266</v>
      </c>
      <c r="B88" t="s">
        <v>267</v>
      </c>
      <c r="C88">
        <v>19.170000000000002</v>
      </c>
      <c r="D88" s="3">
        <v>1850</v>
      </c>
      <c r="E88">
        <v>53</v>
      </c>
      <c r="F88">
        <v>62</v>
      </c>
      <c r="G88">
        <v>53.15</v>
      </c>
      <c r="H88">
        <v>166</v>
      </c>
      <c r="I88" s="65">
        <v>219.15</v>
      </c>
      <c r="J88" s="2">
        <v>1844.7789275634996</v>
      </c>
      <c r="K88" s="1">
        <v>570.39374260310149</v>
      </c>
      <c r="L88" s="1">
        <v>161.82751540041068</v>
      </c>
      <c r="M88" t="s">
        <v>240</v>
      </c>
      <c r="Q88">
        <v>45183</v>
      </c>
      <c r="R88" t="s">
        <v>237</v>
      </c>
      <c r="S88" s="65">
        <v>114700</v>
      </c>
      <c r="T88" s="3">
        <v>6.8782911944202265</v>
      </c>
      <c r="U88" s="144">
        <v>0.30919354838709678</v>
      </c>
      <c r="V88" s="3"/>
      <c r="W88" s="2">
        <f>C88*D88</f>
        <v>35464.5</v>
      </c>
      <c r="Y88" s="1">
        <f>C88*(60/F88)</f>
        <v>18.551612903225809</v>
      </c>
    </row>
    <row r="89" spans="1:25" x14ac:dyDescent="0.25">
      <c r="G89" s="87"/>
      <c r="H89" s="87"/>
      <c r="I89" s="93">
        <f>AVERAGE(I85:I88)</f>
        <v>198.60499999999999</v>
      </c>
      <c r="L89" s="43">
        <f>AVERAGE(L85:L88)</f>
        <v>95.058649836200516</v>
      </c>
      <c r="Q89" s="70"/>
      <c r="S89" s="45">
        <f>AVERAGE(S85:S88)</f>
        <v>88081</v>
      </c>
      <c r="T89" s="44">
        <f>AVERAGE(T85:T88)</f>
        <v>8.2754644656708098</v>
      </c>
      <c r="U89" s="42">
        <f>AVERAGE(U85:U88)</f>
        <v>0.18749974638671879</v>
      </c>
      <c r="V89" s="3"/>
      <c r="W89" s="45">
        <f>AVERAGE(W85:W88)</f>
        <v>17207.625</v>
      </c>
      <c r="Y89" s="44">
        <f>AVERAGE(Y85:Y88)</f>
        <v>11.249984783203129</v>
      </c>
    </row>
    <row r="90" spans="1:25" x14ac:dyDescent="0.25">
      <c r="G90" s="88"/>
      <c r="H90" s="88"/>
      <c r="I90" s="71" t="s">
        <v>29</v>
      </c>
      <c r="L90" s="3" t="s">
        <v>29</v>
      </c>
      <c r="S90" s="3" t="s">
        <v>29</v>
      </c>
      <c r="T90" s="3" t="s">
        <v>29</v>
      </c>
      <c r="U90" s="3" t="s">
        <v>29</v>
      </c>
      <c r="V90" s="3"/>
      <c r="W90" s="3" t="s">
        <v>29</v>
      </c>
      <c r="Y90" s="3" t="s">
        <v>29</v>
      </c>
    </row>
    <row r="91" spans="1:25" x14ac:dyDescent="0.25">
      <c r="I91" s="69">
        <f>I89*S91/S89</f>
        <v>180.38396475970981</v>
      </c>
      <c r="L91" s="138">
        <f>K15</f>
        <v>90.115684882895664</v>
      </c>
      <c r="M91" t="s">
        <v>60</v>
      </c>
      <c r="S91" s="139">
        <f>H15</f>
        <v>80000</v>
      </c>
      <c r="U91" s="42">
        <f>U89*L91/L89</f>
        <v>0.17774992691484418</v>
      </c>
      <c r="V91" s="3"/>
      <c r="W91" s="45">
        <f>S91*U91</f>
        <v>14219.994153187534</v>
      </c>
      <c r="Y91" s="44">
        <f>Y89*$L$54/$L$52</f>
        <v>13.834602685825978</v>
      </c>
    </row>
  </sheetData>
  <mergeCells count="11">
    <mergeCell ref="H28:L28"/>
    <mergeCell ref="A25:A26"/>
    <mergeCell ref="B25:K26"/>
    <mergeCell ref="Q1:T1"/>
    <mergeCell ref="H10:L10"/>
    <mergeCell ref="B7:K8"/>
    <mergeCell ref="A7:A8"/>
    <mergeCell ref="A16:A17"/>
    <mergeCell ref="B16:K17"/>
    <mergeCell ref="H1:L1"/>
    <mergeCell ref="H19:L19"/>
  </mergeCells>
  <pageMargins left="0.25" right="0.25" top="0.75" bottom="0.75" header="0.3" footer="0.3"/>
  <pageSetup scale="54" fitToHeight="0" orientation="landscape" horizontalDpi="4294967293" verticalDpi="4294967293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AF20DED-2756-4FCA-ACA8-AA0287B09B5C}">
  <dimension ref="A1:O96"/>
  <sheetViews>
    <sheetView zoomScale="85" zoomScaleNormal="85" workbookViewId="0">
      <pane ySplit="1" topLeftCell="A2" activePane="bottomLeft" state="frozen"/>
      <selection pane="bottomLeft" activeCell="H68" sqref="H68:K68"/>
    </sheetView>
  </sheetViews>
  <sheetFormatPr defaultRowHeight="15" x14ac:dyDescent="0.25"/>
  <cols>
    <col min="1" max="1" width="16" customWidth="1"/>
    <col min="2" max="2" width="17" customWidth="1"/>
    <col min="3" max="3" width="8.28515625" bestFit="1" customWidth="1"/>
    <col min="4" max="4" width="14.28515625" bestFit="1" customWidth="1"/>
    <col min="5" max="5" width="13.140625" bestFit="1" customWidth="1"/>
    <col min="6" max="6" width="46.85546875" customWidth="1"/>
    <col min="7" max="7" width="14.42578125" bestFit="1" customWidth="1"/>
    <col min="8" max="11" width="16.7109375" bestFit="1" customWidth="1"/>
    <col min="12" max="12" width="3.85546875" customWidth="1"/>
    <col min="13" max="13" width="18.28515625" bestFit="1" customWidth="1"/>
    <col min="14" max="14" width="8.5703125" customWidth="1"/>
    <col min="15" max="15" width="9.28515625" bestFit="1" customWidth="1"/>
    <col min="16" max="16" width="11.85546875" bestFit="1" customWidth="1"/>
    <col min="18" max="18" width="11.85546875" bestFit="1" customWidth="1"/>
    <col min="19" max="20" width="14.5703125" bestFit="1" customWidth="1"/>
  </cols>
  <sheetData>
    <row r="1" spans="1:15" ht="39.75" thickBot="1" x14ac:dyDescent="0.3">
      <c r="E1" s="227" t="s">
        <v>209</v>
      </c>
      <c r="F1" s="180" t="s">
        <v>157</v>
      </c>
      <c r="G1" s="199" t="s">
        <v>148</v>
      </c>
      <c r="H1" s="199">
        <f>'larger kit calc, sec per part'!F12</f>
        <v>500</v>
      </c>
      <c r="I1" s="199">
        <f>'larger kit calc, sec per part'!F22</f>
        <v>1000</v>
      </c>
      <c r="J1" s="199">
        <f>'larger kit calc, sec per part'!F32</f>
        <v>5000</v>
      </c>
      <c r="K1" s="199">
        <f>'larger kit calc, sec per part'!F42</f>
        <v>10000</v>
      </c>
      <c r="M1" s="200" t="s">
        <v>128</v>
      </c>
      <c r="N1" s="200" t="s">
        <v>193</v>
      </c>
      <c r="O1" s="200" t="s">
        <v>192</v>
      </c>
    </row>
    <row r="2" spans="1:15" ht="18" thickTop="1" x14ac:dyDescent="0.3">
      <c r="A2" s="165" t="s">
        <v>97</v>
      </c>
      <c r="B2" s="165" t="str">
        <f>'larger kit calc, sec per part'!B11</f>
        <v>8514ML</v>
      </c>
      <c r="E2" s="170" t="s">
        <v>49</v>
      </c>
      <c r="F2" s="170" t="s">
        <v>126</v>
      </c>
      <c r="G2" s="171" t="s">
        <v>167</v>
      </c>
      <c r="H2" s="171" t="s">
        <v>49</v>
      </c>
      <c r="I2" s="171" t="s">
        <v>49</v>
      </c>
      <c r="J2" s="171" t="s">
        <v>49</v>
      </c>
      <c r="K2" s="171" t="s">
        <v>49</v>
      </c>
      <c r="M2" s="201" t="s">
        <v>127</v>
      </c>
      <c r="N2" s="201">
        <v>1</v>
      </c>
      <c r="O2" s="201">
        <v>1</v>
      </c>
    </row>
    <row r="3" spans="1:15" x14ac:dyDescent="0.25">
      <c r="A3" s="165" t="s">
        <v>99</v>
      </c>
      <c r="B3" s="165" t="str">
        <f>'larger kit calc, sec per part'!B12</f>
        <v xml:space="preserve">Jankel </v>
      </c>
      <c r="E3" s="165">
        <v>0.25</v>
      </c>
      <c r="F3" s="165" t="s">
        <v>174</v>
      </c>
      <c r="G3" s="165"/>
      <c r="H3" s="165">
        <f t="shared" ref="H3:H8" si="0">VLOOKUP($B$27,$A$15:$B$24,2,FALSE)</f>
        <v>0.25</v>
      </c>
      <c r="I3" s="165">
        <f t="shared" ref="I3:I8" si="1">VLOOKUP($B$28,$A$15:$B$24,2,FALSE)</f>
        <v>0.33</v>
      </c>
      <c r="J3" s="165">
        <f>VLOOKUP($B$29,$A$15:$B$24,2,FALSE)</f>
        <v>0.5</v>
      </c>
      <c r="K3" s="165">
        <f t="shared" ref="K3:K8" si="2">VLOOKUP($B$30,$A$15:$B$24,2,FALSE)</f>
        <v>0.75</v>
      </c>
      <c r="M3" s="165" t="s">
        <v>125</v>
      </c>
      <c r="N3" s="165">
        <v>1.05</v>
      </c>
      <c r="O3" s="165">
        <v>1.1000000000000001</v>
      </c>
    </row>
    <row r="4" spans="1:15" x14ac:dyDescent="0.25">
      <c r="A4" s="165" t="s">
        <v>100</v>
      </c>
      <c r="B4" s="165" t="str">
        <f>'larger kit calc, sec per part'!B13</f>
        <v>Tactical Occupant</v>
      </c>
      <c r="C4" s="164"/>
      <c r="E4" s="165">
        <v>0.25</v>
      </c>
      <c r="F4" s="165" t="s">
        <v>147</v>
      </c>
      <c r="G4" s="165"/>
      <c r="H4" s="165">
        <f t="shared" si="0"/>
        <v>0.25</v>
      </c>
      <c r="I4" s="165">
        <f t="shared" si="1"/>
        <v>0.33</v>
      </c>
      <c r="J4" s="165">
        <f t="shared" ref="J4:J8" si="3">VLOOKUP($B$29,$A$17:$B$23,2,FALSE)</f>
        <v>0.5</v>
      </c>
      <c r="K4" s="165">
        <f t="shared" si="2"/>
        <v>0.75</v>
      </c>
      <c r="M4" s="183" t="s">
        <v>124</v>
      </c>
      <c r="N4" s="165">
        <v>1.1000000000000001</v>
      </c>
      <c r="O4" s="165">
        <v>1.2</v>
      </c>
    </row>
    <row r="5" spans="1:15" x14ac:dyDescent="0.25">
      <c r="A5" s="165" t="s">
        <v>98</v>
      </c>
      <c r="B5" s="165" t="str">
        <f>'larger kit calc, sec per part'!C11</f>
        <v>-</v>
      </c>
      <c r="C5" s="164"/>
      <c r="E5" s="165">
        <v>0.25</v>
      </c>
      <c r="F5" s="165" t="s">
        <v>198</v>
      </c>
      <c r="G5" s="165"/>
      <c r="H5" s="165">
        <f t="shared" si="0"/>
        <v>0.25</v>
      </c>
      <c r="I5" s="165">
        <f t="shared" si="1"/>
        <v>0.33</v>
      </c>
      <c r="J5" s="165">
        <f t="shared" si="3"/>
        <v>0.5</v>
      </c>
      <c r="K5" s="165">
        <f t="shared" si="2"/>
        <v>0.75</v>
      </c>
      <c r="M5" s="183" t="s">
        <v>123</v>
      </c>
      <c r="N5" s="165">
        <v>1.1499999999999999</v>
      </c>
      <c r="O5" s="165">
        <v>1.3</v>
      </c>
    </row>
    <row r="6" spans="1:15" x14ac:dyDescent="0.25">
      <c r="C6" s="164"/>
      <c r="E6" s="165">
        <v>0.25</v>
      </c>
      <c r="F6" s="165" t="s">
        <v>146</v>
      </c>
      <c r="G6" s="165"/>
      <c r="H6" s="165">
        <f t="shared" si="0"/>
        <v>0.25</v>
      </c>
      <c r="I6" s="165">
        <f t="shared" si="1"/>
        <v>0.33</v>
      </c>
      <c r="J6" s="165">
        <f t="shared" si="3"/>
        <v>0.5</v>
      </c>
      <c r="K6" s="165">
        <f t="shared" si="2"/>
        <v>0.75</v>
      </c>
      <c r="M6" s="184" t="s">
        <v>122</v>
      </c>
      <c r="N6" s="165">
        <v>1.2</v>
      </c>
      <c r="O6" s="165">
        <v>1.4</v>
      </c>
    </row>
    <row r="7" spans="1:15" x14ac:dyDescent="0.25">
      <c r="A7" s="165" t="s">
        <v>182</v>
      </c>
      <c r="B7" s="165" t="s">
        <v>121</v>
      </c>
      <c r="C7" s="164"/>
      <c r="E7" s="165">
        <v>0.25</v>
      </c>
      <c r="F7" s="165" t="s">
        <v>145</v>
      </c>
      <c r="G7" s="165"/>
      <c r="H7" s="165">
        <f t="shared" si="0"/>
        <v>0.25</v>
      </c>
      <c r="I7" s="165">
        <f t="shared" si="1"/>
        <v>0.33</v>
      </c>
      <c r="J7" s="165">
        <f t="shared" si="3"/>
        <v>0.5</v>
      </c>
      <c r="K7" s="165">
        <f t="shared" si="2"/>
        <v>0.75</v>
      </c>
      <c r="M7" s="184" t="s">
        <v>121</v>
      </c>
      <c r="N7" s="165">
        <v>1.25</v>
      </c>
      <c r="O7" s="165">
        <v>1.5</v>
      </c>
    </row>
    <row r="8" spans="1:15" x14ac:dyDescent="0.25">
      <c r="A8" s="165" t="s">
        <v>193</v>
      </c>
      <c r="B8" s="165">
        <f>VLOOKUP(B7,M2:N11,2,FALSE)</f>
        <v>1.25</v>
      </c>
      <c r="C8" s="164"/>
      <c r="E8" s="165">
        <v>0.25</v>
      </c>
      <c r="F8" s="165" t="s">
        <v>144</v>
      </c>
      <c r="G8" s="165"/>
      <c r="H8" s="165">
        <f t="shared" si="0"/>
        <v>0.25</v>
      </c>
      <c r="I8" s="165">
        <f t="shared" si="1"/>
        <v>0.33</v>
      </c>
      <c r="J8" s="165">
        <f t="shared" si="3"/>
        <v>0.5</v>
      </c>
      <c r="K8" s="165">
        <f t="shared" si="2"/>
        <v>0.75</v>
      </c>
      <c r="M8" s="184" t="s">
        <v>120</v>
      </c>
      <c r="N8" s="165">
        <v>1.3</v>
      </c>
      <c r="O8" s="165">
        <v>1.6</v>
      </c>
    </row>
    <row r="9" spans="1:15" x14ac:dyDescent="0.25">
      <c r="C9" s="65"/>
      <c r="E9" s="174">
        <f>SUM(E2:E8)</f>
        <v>1.5</v>
      </c>
      <c r="F9" s="174" t="s">
        <v>130</v>
      </c>
      <c r="G9" s="174"/>
      <c r="H9" s="174">
        <f>SUM(H2:H8)</f>
        <v>1.5</v>
      </c>
      <c r="I9" s="174">
        <f>SUM(I2:I8)</f>
        <v>1.9800000000000002</v>
      </c>
      <c r="J9" s="174">
        <f>SUM(J2:J8)</f>
        <v>3</v>
      </c>
      <c r="K9" s="174">
        <f>SUM(K2:K8)</f>
        <v>4.5</v>
      </c>
      <c r="M9" s="183" t="s">
        <v>119</v>
      </c>
      <c r="N9" s="165">
        <v>1.35</v>
      </c>
      <c r="O9" s="165">
        <v>1.7</v>
      </c>
    </row>
    <row r="10" spans="1:15" ht="15" customHeight="1" x14ac:dyDescent="0.25">
      <c r="A10" s="287" t="s">
        <v>222</v>
      </c>
      <c r="B10" s="287"/>
      <c r="C10" s="287"/>
      <c r="E10" s="175"/>
      <c r="F10" s="175"/>
      <c r="G10" s="175"/>
      <c r="H10" s="175"/>
      <c r="I10" s="175"/>
      <c r="J10" s="175"/>
      <c r="K10" s="175"/>
      <c r="M10" s="183" t="s">
        <v>117</v>
      </c>
      <c r="N10" s="165">
        <v>1.4</v>
      </c>
      <c r="O10" s="165">
        <v>1.8</v>
      </c>
    </row>
    <row r="11" spans="1:15" ht="19.5" x14ac:dyDescent="0.25">
      <c r="A11" s="287"/>
      <c r="B11" s="287"/>
      <c r="C11" s="287"/>
      <c r="E11" s="164"/>
      <c r="F11" s="178" t="s">
        <v>143</v>
      </c>
      <c r="G11" s="179"/>
      <c r="H11" s="164"/>
      <c r="I11" s="164"/>
      <c r="J11" s="164"/>
      <c r="K11" s="164"/>
      <c r="M11" s="201" t="s">
        <v>116</v>
      </c>
      <c r="N11" s="201">
        <v>1.45</v>
      </c>
      <c r="O11" s="201">
        <v>1.9</v>
      </c>
    </row>
    <row r="12" spans="1:15" ht="17.25" x14ac:dyDescent="0.25">
      <c r="A12" s="287"/>
      <c r="B12" s="287"/>
      <c r="C12" s="287"/>
      <c r="D12" s="164"/>
      <c r="E12" s="171" t="s">
        <v>49</v>
      </c>
      <c r="F12" s="171" t="s">
        <v>210</v>
      </c>
      <c r="G12" s="171" t="s">
        <v>167</v>
      </c>
      <c r="H12" s="171" t="s">
        <v>49</v>
      </c>
      <c r="I12" s="171" t="s">
        <v>49</v>
      </c>
      <c r="J12" s="171" t="s">
        <v>49</v>
      </c>
      <c r="K12" s="171" t="s">
        <v>49</v>
      </c>
    </row>
    <row r="13" spans="1:15" ht="15" customHeight="1" x14ac:dyDescent="0.25">
      <c r="D13" s="164"/>
      <c r="E13" s="165">
        <v>0.25</v>
      </c>
      <c r="F13" s="165" t="s">
        <v>172</v>
      </c>
      <c r="G13" s="165"/>
      <c r="H13" s="165">
        <f t="shared" ref="H13:H17" si="4">VLOOKUP($B$27,$A$15:$B$24,2,FALSE)</f>
        <v>0.25</v>
      </c>
      <c r="I13" s="165">
        <f t="shared" ref="I13:I17" si="5">VLOOKUP($B$28,$A$15:$B$24,2,FALSE)</f>
        <v>0.33</v>
      </c>
      <c r="J13" s="165">
        <f>VLOOKUP($B$29,$A$15:$B$24,2,FALSE)</f>
        <v>0.5</v>
      </c>
      <c r="K13" s="165">
        <f t="shared" ref="K13:K17" si="6">VLOOKUP($B$30,$A$15:$B$24,2,FALSE)</f>
        <v>0.75</v>
      </c>
    </row>
    <row r="14" spans="1:15" ht="15" customHeight="1" x14ac:dyDescent="0.25">
      <c r="A14" s="165" t="s">
        <v>182</v>
      </c>
      <c r="B14" s="165" t="s">
        <v>49</v>
      </c>
      <c r="C14" s="165" t="s">
        <v>70</v>
      </c>
      <c r="D14" s="164"/>
      <c r="E14" s="165">
        <v>0.25</v>
      </c>
      <c r="F14" s="165" t="s">
        <v>177</v>
      </c>
      <c r="G14" s="165"/>
      <c r="H14" s="165">
        <f t="shared" si="4"/>
        <v>0.25</v>
      </c>
      <c r="I14" s="165">
        <f t="shared" si="5"/>
        <v>0.33</v>
      </c>
      <c r="J14" s="165">
        <f t="shared" ref="J14:J17" si="7">VLOOKUP($B$29,$A$17:$B$23,2,FALSE)</f>
        <v>0.5</v>
      </c>
      <c r="K14" s="165">
        <f t="shared" si="6"/>
        <v>0.75</v>
      </c>
      <c r="M14" s="283" t="s">
        <v>115</v>
      </c>
      <c r="N14" s="283"/>
      <c r="O14" s="283"/>
    </row>
    <row r="15" spans="1:15" ht="15" customHeight="1" x14ac:dyDescent="0.25">
      <c r="A15" s="229" t="s">
        <v>127</v>
      </c>
      <c r="B15" s="183">
        <v>0.12</v>
      </c>
      <c r="C15" s="183">
        <f>B15*60</f>
        <v>7.1999999999999993</v>
      </c>
      <c r="D15" s="164"/>
      <c r="E15" s="165">
        <v>0.25</v>
      </c>
      <c r="F15" s="165" t="s">
        <v>142</v>
      </c>
      <c r="G15" s="165"/>
      <c r="H15" s="165">
        <f t="shared" si="4"/>
        <v>0.25</v>
      </c>
      <c r="I15" s="165">
        <f t="shared" si="5"/>
        <v>0.33</v>
      </c>
      <c r="J15" s="165">
        <f t="shared" si="7"/>
        <v>0.5</v>
      </c>
      <c r="K15" s="165">
        <f t="shared" si="6"/>
        <v>0.75</v>
      </c>
      <c r="M15" s="167" t="s">
        <v>114</v>
      </c>
      <c r="N15" s="294" t="s">
        <v>113</v>
      </c>
      <c r="O15" s="294"/>
    </row>
    <row r="16" spans="1:15" x14ac:dyDescent="0.25">
      <c r="A16" s="183" t="s">
        <v>125</v>
      </c>
      <c r="B16" s="183">
        <v>0.18</v>
      </c>
      <c r="C16" s="183">
        <f t="shared" ref="C16:C24" si="8">B16*60</f>
        <v>10.799999999999999</v>
      </c>
      <c r="D16" s="164"/>
      <c r="E16" s="165">
        <v>0.25</v>
      </c>
      <c r="F16" s="165" t="s">
        <v>141</v>
      </c>
      <c r="G16" s="165"/>
      <c r="H16" s="165">
        <f t="shared" si="4"/>
        <v>0.25</v>
      </c>
      <c r="I16" s="165">
        <f t="shared" si="5"/>
        <v>0.33</v>
      </c>
      <c r="J16" s="165">
        <f t="shared" si="7"/>
        <v>0.5</v>
      </c>
      <c r="K16" s="165">
        <f t="shared" si="6"/>
        <v>0.75</v>
      </c>
      <c r="M16" s="167" t="s">
        <v>110</v>
      </c>
      <c r="N16" s="295" t="s">
        <v>154</v>
      </c>
      <c r="O16" s="295"/>
    </row>
    <row r="17" spans="1:15" x14ac:dyDescent="0.25">
      <c r="A17" s="165" t="s">
        <v>124</v>
      </c>
      <c r="B17" s="165">
        <v>0.25</v>
      </c>
      <c r="C17" s="165">
        <f t="shared" si="8"/>
        <v>15</v>
      </c>
      <c r="D17" s="164"/>
      <c r="E17" s="165">
        <v>0.25</v>
      </c>
      <c r="F17" s="165" t="s">
        <v>140</v>
      </c>
      <c r="G17" s="165"/>
      <c r="H17" s="165">
        <f t="shared" si="4"/>
        <v>0.25</v>
      </c>
      <c r="I17" s="165">
        <f t="shared" si="5"/>
        <v>0.33</v>
      </c>
      <c r="J17" s="165">
        <f t="shared" si="7"/>
        <v>0.5</v>
      </c>
      <c r="K17" s="165">
        <f t="shared" si="6"/>
        <v>0.75</v>
      </c>
      <c r="M17" s="167" t="s">
        <v>109</v>
      </c>
      <c r="N17" s="295" t="s">
        <v>155</v>
      </c>
      <c r="O17" s="295"/>
    </row>
    <row r="18" spans="1:15" x14ac:dyDescent="0.25">
      <c r="A18" s="165" t="s">
        <v>123</v>
      </c>
      <c r="B18" s="165">
        <v>0.33</v>
      </c>
      <c r="C18" s="165">
        <f t="shared" si="8"/>
        <v>19.8</v>
      </c>
      <c r="D18" s="164"/>
      <c r="E18" s="174">
        <f>SUM(E11:E17)</f>
        <v>1.25</v>
      </c>
      <c r="F18" s="174" t="s">
        <v>130</v>
      </c>
      <c r="G18" s="174"/>
      <c r="H18" s="174">
        <f>SUM(H11:H17)</f>
        <v>1.25</v>
      </c>
      <c r="I18" s="174">
        <f>SUM(I11:I17)</f>
        <v>1.6500000000000001</v>
      </c>
      <c r="J18" s="174">
        <f>SUM(J11:J17)</f>
        <v>2.5</v>
      </c>
      <c r="K18" s="174">
        <f>SUM(K11:K17)</f>
        <v>3.75</v>
      </c>
      <c r="M18" s="167" t="s">
        <v>108</v>
      </c>
      <c r="N18" s="295" t="s">
        <v>156</v>
      </c>
      <c r="O18" s="295"/>
    </row>
    <row r="19" spans="1:15" ht="29.25" customHeight="1" x14ac:dyDescent="0.25">
      <c r="A19" s="165" t="s">
        <v>122</v>
      </c>
      <c r="B19" s="165">
        <v>0.5</v>
      </c>
      <c r="C19" s="165">
        <f t="shared" si="8"/>
        <v>30</v>
      </c>
      <c r="D19" s="164"/>
      <c r="E19" s="164"/>
      <c r="F19" s="164"/>
      <c r="G19" s="164"/>
      <c r="H19" s="164"/>
      <c r="I19" s="164"/>
      <c r="J19" s="164"/>
      <c r="K19" s="164"/>
      <c r="M19" s="284" t="s">
        <v>190</v>
      </c>
      <c r="N19" s="285"/>
      <c r="O19" s="286"/>
    </row>
    <row r="20" spans="1:15" ht="17.25" x14ac:dyDescent="0.25">
      <c r="A20" s="165" t="s">
        <v>121</v>
      </c>
      <c r="B20" s="165">
        <v>0.75</v>
      </c>
      <c r="C20" s="165">
        <f t="shared" si="8"/>
        <v>45</v>
      </c>
      <c r="D20" s="164"/>
      <c r="E20" s="171" t="s">
        <v>49</v>
      </c>
      <c r="F20" s="171" t="s">
        <v>170</v>
      </c>
      <c r="G20" s="171" t="s">
        <v>167</v>
      </c>
      <c r="H20" s="171" t="s">
        <v>49</v>
      </c>
      <c r="I20" s="171" t="s">
        <v>49</v>
      </c>
      <c r="J20" s="171" t="s">
        <v>49</v>
      </c>
      <c r="K20" s="171" t="s">
        <v>49</v>
      </c>
    </row>
    <row r="21" spans="1:15" x14ac:dyDescent="0.25">
      <c r="A21" s="165" t="s">
        <v>120</v>
      </c>
      <c r="B21" s="165">
        <v>1</v>
      </c>
      <c r="C21" s="165">
        <f t="shared" si="8"/>
        <v>60</v>
      </c>
      <c r="D21" s="164"/>
      <c r="E21" s="165">
        <v>0.25</v>
      </c>
      <c r="F21" s="165" t="s">
        <v>139</v>
      </c>
      <c r="G21" s="165"/>
      <c r="H21" s="165">
        <f t="shared" ref="H21:H26" si="9">VLOOKUP($B$27,$A$15:$B$24,2,FALSE)</f>
        <v>0.25</v>
      </c>
      <c r="I21" s="165">
        <f t="shared" ref="I21:I26" si="10">VLOOKUP($B$28,$A$15:$B$24,2,FALSE)</f>
        <v>0.33</v>
      </c>
      <c r="J21" s="165">
        <f t="shared" ref="J21:J26" si="11">VLOOKUP($B$29,$A$17:$B$23,2,FALSE)</f>
        <v>0.5</v>
      </c>
      <c r="K21" s="165">
        <f t="shared" ref="K21:K26" si="12">VLOOKUP($B$30,$A$15:$B$24,2,FALSE)</f>
        <v>0.75</v>
      </c>
    </row>
    <row r="22" spans="1:15" x14ac:dyDescent="0.25">
      <c r="A22" s="165" t="s">
        <v>119</v>
      </c>
      <c r="B22" s="165">
        <v>1.25</v>
      </c>
      <c r="C22" s="165">
        <f t="shared" si="8"/>
        <v>75</v>
      </c>
      <c r="D22" s="164"/>
      <c r="E22" s="186">
        <v>0.25</v>
      </c>
      <c r="F22" s="186" t="s">
        <v>138</v>
      </c>
      <c r="G22" s="186"/>
      <c r="H22" s="186">
        <f t="shared" si="9"/>
        <v>0.25</v>
      </c>
      <c r="I22" s="186">
        <f t="shared" si="10"/>
        <v>0.33</v>
      </c>
      <c r="J22" s="186">
        <f t="shared" si="11"/>
        <v>0.5</v>
      </c>
      <c r="K22" s="186">
        <f t="shared" si="12"/>
        <v>0.75</v>
      </c>
    </row>
    <row r="23" spans="1:15" ht="45" x14ac:dyDescent="0.25">
      <c r="A23" s="165" t="s">
        <v>117</v>
      </c>
      <c r="B23" s="165">
        <v>1.5</v>
      </c>
      <c r="C23" s="165">
        <f t="shared" si="8"/>
        <v>90</v>
      </c>
      <c r="E23" s="186">
        <v>0</v>
      </c>
      <c r="F23" s="226" t="s">
        <v>211</v>
      </c>
      <c r="G23" s="186"/>
      <c r="H23" s="186">
        <f t="shared" si="9"/>
        <v>0.25</v>
      </c>
      <c r="I23" s="186">
        <f t="shared" si="10"/>
        <v>0.33</v>
      </c>
      <c r="J23" s="186">
        <f t="shared" si="11"/>
        <v>0.5</v>
      </c>
      <c r="K23" s="186">
        <f t="shared" si="12"/>
        <v>0.75</v>
      </c>
    </row>
    <row r="24" spans="1:15" x14ac:dyDescent="0.25">
      <c r="A24" s="165" t="s">
        <v>116</v>
      </c>
      <c r="B24" s="165">
        <v>2</v>
      </c>
      <c r="C24" s="165">
        <f t="shared" si="8"/>
        <v>120</v>
      </c>
      <c r="E24" s="186">
        <v>0.25</v>
      </c>
      <c r="F24" s="186" t="s">
        <v>137</v>
      </c>
      <c r="G24" s="186"/>
      <c r="H24" s="186">
        <f t="shared" si="9"/>
        <v>0.25</v>
      </c>
      <c r="I24" s="186">
        <f t="shared" si="10"/>
        <v>0.33</v>
      </c>
      <c r="J24" s="186">
        <f t="shared" si="11"/>
        <v>0.5</v>
      </c>
      <c r="K24" s="186">
        <f t="shared" si="12"/>
        <v>0.75</v>
      </c>
    </row>
    <row r="25" spans="1:15" x14ac:dyDescent="0.25">
      <c r="E25" s="186">
        <v>0.25</v>
      </c>
      <c r="F25" s="186" t="s">
        <v>136</v>
      </c>
      <c r="G25" s="186"/>
      <c r="H25" s="186">
        <f t="shared" si="9"/>
        <v>0.25</v>
      </c>
      <c r="I25" s="186">
        <f t="shared" si="10"/>
        <v>0.33</v>
      </c>
      <c r="J25" s="186">
        <f t="shared" si="11"/>
        <v>0.5</v>
      </c>
      <c r="K25" s="186">
        <f t="shared" si="12"/>
        <v>0.75</v>
      </c>
    </row>
    <row r="26" spans="1:15" x14ac:dyDescent="0.25">
      <c r="A26" s="165" t="s">
        <v>189</v>
      </c>
      <c r="B26" s="165" t="s">
        <v>182</v>
      </c>
      <c r="C26" s="164"/>
      <c r="E26" s="186">
        <v>0.25</v>
      </c>
      <c r="F26" s="186" t="s">
        <v>135</v>
      </c>
      <c r="G26" s="186"/>
      <c r="H26" s="186">
        <f t="shared" si="9"/>
        <v>0.25</v>
      </c>
      <c r="I26" s="186">
        <f t="shared" si="10"/>
        <v>0.33</v>
      </c>
      <c r="J26" s="186">
        <f t="shared" si="11"/>
        <v>0.5</v>
      </c>
      <c r="K26" s="186">
        <f t="shared" si="12"/>
        <v>0.75</v>
      </c>
    </row>
    <row r="27" spans="1:15" ht="30" x14ac:dyDescent="0.25">
      <c r="A27" s="169" t="s">
        <v>204</v>
      </c>
      <c r="B27" s="165" t="s">
        <v>124</v>
      </c>
      <c r="C27" s="164"/>
      <c r="E27" s="186"/>
      <c r="F27" s="186" t="s">
        <v>163</v>
      </c>
      <c r="G27" s="186"/>
      <c r="H27" s="186">
        <f>SUM(H22+H23+H24+H25+H26)</f>
        <v>1.25</v>
      </c>
      <c r="I27" s="186">
        <f t="shared" ref="I27:K27" si="13">SUM(I22+I23+I24+I25+I26)</f>
        <v>1.6500000000000001</v>
      </c>
      <c r="J27" s="186">
        <f t="shared" si="13"/>
        <v>2.5</v>
      </c>
      <c r="K27" s="186">
        <f t="shared" si="13"/>
        <v>3.75</v>
      </c>
    </row>
    <row r="28" spans="1:15" ht="30" x14ac:dyDescent="0.25">
      <c r="A28" s="169" t="s">
        <v>205</v>
      </c>
      <c r="B28" s="165" t="s">
        <v>123</v>
      </c>
      <c r="C28" s="164"/>
      <c r="E28" s="181"/>
      <c r="F28" s="181" t="s">
        <v>188</v>
      </c>
      <c r="G28" s="181"/>
      <c r="H28" s="182">
        <f>'larger kit calc, sec per part'!L15</f>
        <v>20</v>
      </c>
      <c r="I28" s="182">
        <f>'larger kit calc, sec per part'!L25</f>
        <v>19.718309859154928</v>
      </c>
      <c r="J28" s="182">
        <f>'larger kit calc, sec per part'!L35</f>
        <v>63.006300630063009</v>
      </c>
      <c r="K28" s="182">
        <f>'larger kit calc, sec per part'!L45</f>
        <v>82.449941107184927</v>
      </c>
    </row>
    <row r="29" spans="1:15" ht="30" x14ac:dyDescent="0.25">
      <c r="A29" s="169" t="s">
        <v>206</v>
      </c>
      <c r="B29" s="165" t="s">
        <v>122</v>
      </c>
      <c r="C29" s="164"/>
      <c r="E29" s="174">
        <f>SUM(E21:E28)</f>
        <v>1.25</v>
      </c>
      <c r="F29" s="174" t="s">
        <v>130</v>
      </c>
      <c r="G29" s="174"/>
      <c r="H29" s="221">
        <f>SUM(H21+H27+H28)</f>
        <v>21.5</v>
      </c>
      <c r="I29" s="221">
        <f t="shared" ref="I29:K29" si="14">SUM(I21+I27+I28)</f>
        <v>21.698309859154929</v>
      </c>
      <c r="J29" s="221">
        <f t="shared" si="14"/>
        <v>66.006300630063009</v>
      </c>
      <c r="K29" s="221">
        <f t="shared" si="14"/>
        <v>86.949941107184927</v>
      </c>
    </row>
    <row r="30" spans="1:15" ht="30" x14ac:dyDescent="0.25">
      <c r="A30" s="169" t="s">
        <v>207</v>
      </c>
      <c r="B30" s="165" t="s">
        <v>121</v>
      </c>
      <c r="C30" s="164"/>
      <c r="E30" s="164"/>
      <c r="F30" s="164"/>
      <c r="G30" s="164"/>
      <c r="H30" s="164"/>
      <c r="I30" s="164"/>
      <c r="J30" s="164"/>
      <c r="K30" s="164"/>
    </row>
    <row r="31" spans="1:15" ht="30" x14ac:dyDescent="0.25">
      <c r="A31" s="169" t="s">
        <v>208</v>
      </c>
      <c r="B31" s="165" t="s">
        <v>120</v>
      </c>
      <c r="C31" s="164"/>
      <c r="E31" s="171" t="s">
        <v>49</v>
      </c>
      <c r="F31" s="171" t="s">
        <v>169</v>
      </c>
      <c r="G31" s="171" t="s">
        <v>167</v>
      </c>
      <c r="H31" s="171" t="s">
        <v>49</v>
      </c>
      <c r="I31" s="171" t="s">
        <v>49</v>
      </c>
      <c r="J31" s="171" t="s">
        <v>49</v>
      </c>
      <c r="K31" s="171" t="s">
        <v>49</v>
      </c>
    </row>
    <row r="32" spans="1:15" ht="30" x14ac:dyDescent="0.25">
      <c r="A32" s="169" t="s">
        <v>230</v>
      </c>
      <c r="B32" s="165" t="s">
        <v>119</v>
      </c>
      <c r="C32" s="164"/>
      <c r="E32" s="185"/>
      <c r="F32" s="181" t="s">
        <v>164</v>
      </c>
      <c r="G32" s="181"/>
      <c r="H32" s="182">
        <f>'larger kit calc, sec per part'!I17</f>
        <v>0</v>
      </c>
      <c r="I32" s="182">
        <f>'larger kit calc, sec per part'!I27</f>
        <v>0</v>
      </c>
      <c r="J32" s="182">
        <f>'larger kit calc, sec per part'!I37</f>
        <v>0</v>
      </c>
      <c r="K32" s="182">
        <f>'larger kit calc, sec per part'!I47</f>
        <v>0</v>
      </c>
    </row>
    <row r="33" spans="1:11" ht="30" x14ac:dyDescent="0.25">
      <c r="A33" s="169" t="s">
        <v>231</v>
      </c>
      <c r="B33" s="165" t="s">
        <v>117</v>
      </c>
      <c r="E33" s="174" t="e">
        <f>SUM(#REF!)</f>
        <v>#REF!</v>
      </c>
      <c r="F33" s="174" t="s">
        <v>130</v>
      </c>
      <c r="G33" s="174"/>
      <c r="H33" s="221">
        <f>SUM(H32)</f>
        <v>0</v>
      </c>
      <c r="I33" s="221">
        <f t="shared" ref="I33:K33" si="15">SUM(I32)</f>
        <v>0</v>
      </c>
      <c r="J33" s="221">
        <f t="shared" si="15"/>
        <v>0</v>
      </c>
      <c r="K33" s="221">
        <f t="shared" si="15"/>
        <v>0</v>
      </c>
    </row>
    <row r="34" spans="1:11" x14ac:dyDescent="0.25">
      <c r="E34" s="164"/>
      <c r="F34" s="164"/>
      <c r="G34" s="164"/>
      <c r="H34" s="164"/>
      <c r="I34" s="164"/>
      <c r="J34" s="164"/>
      <c r="K34" s="164"/>
    </row>
    <row r="35" spans="1:11" ht="17.25" x14ac:dyDescent="0.25">
      <c r="E35" s="171" t="s">
        <v>49</v>
      </c>
      <c r="F35" s="171" t="s">
        <v>67</v>
      </c>
      <c r="G35" s="171" t="s">
        <v>167</v>
      </c>
      <c r="H35" s="171" t="s">
        <v>49</v>
      </c>
      <c r="I35" s="171" t="s">
        <v>49</v>
      </c>
      <c r="J35" s="171" t="s">
        <v>49</v>
      </c>
      <c r="K35" s="171" t="s">
        <v>49</v>
      </c>
    </row>
    <row r="36" spans="1:11" x14ac:dyDescent="0.25">
      <c r="E36" s="165">
        <v>0.25</v>
      </c>
      <c r="F36" s="165" t="s">
        <v>162</v>
      </c>
      <c r="G36" s="165"/>
      <c r="H36" s="165">
        <f>VLOOKUP($B$27,$A$15:$B$24,2,FALSE)</f>
        <v>0.25</v>
      </c>
      <c r="I36" s="165">
        <f>VLOOKUP($B$28,$A$17:$B$23,2,FALSE)</f>
        <v>0.33</v>
      </c>
      <c r="J36" s="165">
        <f>VLOOKUP($B$29,$A$17:$B$23,2,FALSE)</f>
        <v>0.5</v>
      </c>
      <c r="K36" s="165">
        <f>VLOOKUP($B$30,$A$15:$B$24,2,FALSE)</f>
        <v>0.75</v>
      </c>
    </row>
    <row r="37" spans="1:11" x14ac:dyDescent="0.25">
      <c r="E37" s="165">
        <v>0.25</v>
      </c>
      <c r="F37" s="165" t="s">
        <v>161</v>
      </c>
      <c r="G37" s="165"/>
      <c r="H37" s="220">
        <f>'Final LABOR'!AE12*H1</f>
        <v>0</v>
      </c>
      <c r="I37" s="220">
        <f>'Final LABOR'!AE13*I1</f>
        <v>0</v>
      </c>
      <c r="J37" s="220">
        <f>'Final LABOR'!AE14*J1</f>
        <v>0</v>
      </c>
      <c r="K37" s="220">
        <f>'Final LABOR'!AE15*K1</f>
        <v>0</v>
      </c>
    </row>
    <row r="38" spans="1:11" x14ac:dyDescent="0.25">
      <c r="E38" s="181">
        <v>0.25</v>
      </c>
      <c r="F38" s="181" t="s">
        <v>166</v>
      </c>
      <c r="G38" s="181"/>
      <c r="H38" s="182">
        <f>'larger kit calc, sec per part'!I18</f>
        <v>8.3333333333333339</v>
      </c>
      <c r="I38" s="182">
        <f>'larger kit calc, sec per part'!I28</f>
        <v>15.267175572519085</v>
      </c>
      <c r="J38" s="182">
        <f>'larger kit calc, sec per part'!I38</f>
        <v>69.444444444444443</v>
      </c>
      <c r="K38" s="182">
        <f>'larger kit calc, sec per part'!I48</f>
        <v>125</v>
      </c>
    </row>
    <row r="39" spans="1:11" x14ac:dyDescent="0.25">
      <c r="E39" s="165">
        <v>0.25</v>
      </c>
      <c r="F39" s="165" t="s">
        <v>135</v>
      </c>
      <c r="G39" s="165"/>
      <c r="H39" s="165">
        <f>VLOOKUP($B$27,$A$15:$B$24,2,FALSE)</f>
        <v>0.25</v>
      </c>
      <c r="I39" s="165">
        <f>VLOOKUP($B$28,$A$15:$B$24,2,FALSE)</f>
        <v>0.33</v>
      </c>
      <c r="J39" s="165">
        <f>VLOOKUP($B$29,$A$15:$B$24,2,FALSE)</f>
        <v>0.5</v>
      </c>
      <c r="K39" s="165">
        <f>VLOOKUP($B$30,$A$15:$B$24,2,FALSE)</f>
        <v>0.75</v>
      </c>
    </row>
    <row r="40" spans="1:11" x14ac:dyDescent="0.25">
      <c r="E40" s="165">
        <v>0.25</v>
      </c>
      <c r="F40" s="165" t="s">
        <v>165</v>
      </c>
      <c r="G40" s="165"/>
      <c r="H40" s="165">
        <f>VLOOKUP($B$27,$A$15:$B$24,2,FALSE)</f>
        <v>0.25</v>
      </c>
      <c r="I40" s="165">
        <f>VLOOKUP($B$28,$A$15:$B$24,2,FALSE)</f>
        <v>0.33</v>
      </c>
      <c r="J40" s="165">
        <f>VLOOKUP($B$29,$A$17:$B$23,2,FALSE)</f>
        <v>0.5</v>
      </c>
      <c r="K40" s="165">
        <f>VLOOKUP($B$30,$A$15:$B$24,2,FALSE)</f>
        <v>0.75</v>
      </c>
    </row>
    <row r="41" spans="1:11" x14ac:dyDescent="0.25">
      <c r="E41" s="165">
        <v>0</v>
      </c>
      <c r="F41" s="169" t="s">
        <v>134</v>
      </c>
      <c r="G41" s="165"/>
      <c r="H41" s="165">
        <f>VLOOKUP($B$27,$A$15:$B$24,2,FALSE)</f>
        <v>0.25</v>
      </c>
      <c r="I41" s="165">
        <f>VLOOKUP($B$28,$A$15:$B$24,2,FALSE)</f>
        <v>0.33</v>
      </c>
      <c r="J41" s="165">
        <f>VLOOKUP($B$29,$A$17:$B$23,2,FALSE)</f>
        <v>0.5</v>
      </c>
      <c r="K41" s="165">
        <f>VLOOKUP($B$30,$A$15:$B$24,2,FALSE)</f>
        <v>0.75</v>
      </c>
    </row>
    <row r="42" spans="1:11" x14ac:dyDescent="0.25">
      <c r="E42" s="165">
        <v>0</v>
      </c>
      <c r="F42" s="165" t="s">
        <v>133</v>
      </c>
      <c r="G42" s="165"/>
      <c r="H42" s="165">
        <f>VLOOKUP($B$27,$A$15:$B$24,2,FALSE)</f>
        <v>0.25</v>
      </c>
      <c r="I42" s="165">
        <f>VLOOKUP($B$28,$A$15:$B$24,2,FALSE)</f>
        <v>0.33</v>
      </c>
      <c r="J42" s="165">
        <f>VLOOKUP($B$29,$A$17:$B$23,2,FALSE)</f>
        <v>0.5</v>
      </c>
      <c r="K42" s="165">
        <f>VLOOKUP($B$30,$A$15:$B$24,2,FALSE)</f>
        <v>0.75</v>
      </c>
    </row>
    <row r="43" spans="1:11" x14ac:dyDescent="0.25">
      <c r="E43" s="165">
        <v>0</v>
      </c>
      <c r="F43" s="165" t="s">
        <v>168</v>
      </c>
      <c r="G43" s="165"/>
      <c r="H43" s="165">
        <f t="shared" ref="H43:H51" si="16">VLOOKUP($B$27,$A$15:$B$24,2,FALSE)</f>
        <v>0.25</v>
      </c>
      <c r="I43" s="165">
        <f t="shared" ref="I43:I51" si="17">VLOOKUP($B$28,$A$15:$B$24,2,FALSE)</f>
        <v>0.33</v>
      </c>
      <c r="J43" s="165">
        <f>VLOOKUP($B$29,$A$15:$B$24,2,FALSE)</f>
        <v>0.5</v>
      </c>
      <c r="K43" s="165">
        <f t="shared" ref="K43:K51" si="18">VLOOKUP($B$30,$A$15:$B$24,2,FALSE)</f>
        <v>0.75</v>
      </c>
    </row>
    <row r="44" spans="1:11" x14ac:dyDescent="0.25">
      <c r="E44" s="165">
        <v>0</v>
      </c>
      <c r="F44" s="165" t="s">
        <v>171</v>
      </c>
      <c r="G44" s="165"/>
      <c r="H44" s="165">
        <f t="shared" si="16"/>
        <v>0.25</v>
      </c>
      <c r="I44" s="165">
        <f t="shared" si="17"/>
        <v>0.33</v>
      </c>
      <c r="J44" s="165">
        <f t="shared" ref="J44:J48" si="19">VLOOKUP($B$29,$A$17:$B$23,2,FALSE)</f>
        <v>0.5</v>
      </c>
      <c r="K44" s="165">
        <f t="shared" si="18"/>
        <v>0.75</v>
      </c>
    </row>
    <row r="45" spans="1:11" ht="30" x14ac:dyDescent="0.25">
      <c r="E45" s="165">
        <v>0.25</v>
      </c>
      <c r="F45" s="169" t="s">
        <v>187</v>
      </c>
      <c r="G45" s="165"/>
      <c r="H45" s="165">
        <f t="shared" si="16"/>
        <v>0.25</v>
      </c>
      <c r="I45" s="165">
        <f t="shared" si="17"/>
        <v>0.33</v>
      </c>
      <c r="J45" s="165">
        <f t="shared" si="19"/>
        <v>0.5</v>
      </c>
      <c r="K45" s="165">
        <f t="shared" si="18"/>
        <v>0.75</v>
      </c>
    </row>
    <row r="46" spans="1:11" x14ac:dyDescent="0.25">
      <c r="E46" s="165">
        <v>0.25</v>
      </c>
      <c r="F46" s="165" t="s">
        <v>186</v>
      </c>
      <c r="G46" s="165"/>
      <c r="H46" s="165">
        <f t="shared" si="16"/>
        <v>0.25</v>
      </c>
      <c r="I46" s="165">
        <f t="shared" si="17"/>
        <v>0.33</v>
      </c>
      <c r="J46" s="165">
        <f t="shared" si="19"/>
        <v>0.5</v>
      </c>
      <c r="K46" s="165">
        <f t="shared" si="18"/>
        <v>0.75</v>
      </c>
    </row>
    <row r="47" spans="1:11" x14ac:dyDescent="0.25">
      <c r="E47" s="165">
        <v>0</v>
      </c>
      <c r="F47" s="165" t="s">
        <v>132</v>
      </c>
      <c r="G47" s="165"/>
      <c r="H47" s="165">
        <f t="shared" si="16"/>
        <v>0.25</v>
      </c>
      <c r="I47" s="165">
        <f t="shared" si="17"/>
        <v>0.33</v>
      </c>
      <c r="J47" s="165">
        <f t="shared" si="19"/>
        <v>0.5</v>
      </c>
      <c r="K47" s="165">
        <f t="shared" si="18"/>
        <v>0.75</v>
      </c>
    </row>
    <row r="48" spans="1:11" x14ac:dyDescent="0.25">
      <c r="E48" s="165">
        <v>0.25</v>
      </c>
      <c r="F48" s="165" t="s">
        <v>173</v>
      </c>
      <c r="G48" s="165"/>
      <c r="H48" s="165">
        <f t="shared" si="16"/>
        <v>0.25</v>
      </c>
      <c r="I48" s="165">
        <f t="shared" si="17"/>
        <v>0.33</v>
      </c>
      <c r="J48" s="165">
        <f t="shared" si="19"/>
        <v>0.5</v>
      </c>
      <c r="K48" s="165">
        <f t="shared" si="18"/>
        <v>0.75</v>
      </c>
    </row>
    <row r="49" spans="5:11" x14ac:dyDescent="0.25">
      <c r="E49" s="165">
        <v>0.12</v>
      </c>
      <c r="F49" s="165" t="s">
        <v>131</v>
      </c>
      <c r="G49" s="165"/>
      <c r="H49" s="165">
        <f t="shared" si="16"/>
        <v>0.25</v>
      </c>
      <c r="I49" s="165">
        <f t="shared" si="17"/>
        <v>0.33</v>
      </c>
      <c r="J49" s="165">
        <f>VLOOKUP($B$29,$A$15:$B$24,2,FALSE)</f>
        <v>0.5</v>
      </c>
      <c r="K49" s="165">
        <f t="shared" si="18"/>
        <v>0.75</v>
      </c>
    </row>
    <row r="50" spans="5:11" x14ac:dyDescent="0.25">
      <c r="E50" s="165">
        <v>0.25</v>
      </c>
      <c r="F50" s="165" t="s">
        <v>175</v>
      </c>
      <c r="G50" s="165"/>
      <c r="H50" s="165">
        <f t="shared" si="16"/>
        <v>0.25</v>
      </c>
      <c r="I50" s="165">
        <f t="shared" si="17"/>
        <v>0.33</v>
      </c>
      <c r="J50" s="165">
        <f>VLOOKUP($B$29,$A$17:$B$23,2,FALSE)</f>
        <v>0.5</v>
      </c>
      <c r="K50" s="165">
        <f t="shared" si="18"/>
        <v>0.75</v>
      </c>
    </row>
    <row r="51" spans="5:11" x14ac:dyDescent="0.25">
      <c r="E51" s="165">
        <v>0.12</v>
      </c>
      <c r="F51" s="165" t="s">
        <v>176</v>
      </c>
      <c r="G51" s="165"/>
      <c r="H51" s="165">
        <f t="shared" si="16"/>
        <v>0.25</v>
      </c>
      <c r="I51" s="165">
        <f t="shared" si="17"/>
        <v>0.33</v>
      </c>
      <c r="J51" s="165">
        <f>VLOOKUP($B$29,$A$17:$B$23,2,FALSE)</f>
        <v>0.5</v>
      </c>
      <c r="K51" s="165">
        <f t="shared" si="18"/>
        <v>0.75</v>
      </c>
    </row>
    <row r="52" spans="5:11" x14ac:dyDescent="0.25">
      <c r="E52" s="174">
        <f>SUM(E36:E50)</f>
        <v>2.37</v>
      </c>
      <c r="F52" s="174" t="s">
        <v>130</v>
      </c>
      <c r="G52" s="174"/>
      <c r="H52" s="221">
        <f>SUM(H36:H51)</f>
        <v>11.833333333333334</v>
      </c>
      <c r="I52" s="221">
        <f>SUM(I36:I51)</f>
        <v>19.887175572519066</v>
      </c>
      <c r="J52" s="221">
        <f>SUM(J36:J51)</f>
        <v>76.444444444444443</v>
      </c>
      <c r="K52" s="221">
        <f>SUM(K36:K51)</f>
        <v>135.5</v>
      </c>
    </row>
    <row r="53" spans="5:11" ht="16.5" customHeight="1" x14ac:dyDescent="0.25">
      <c r="E53" s="164"/>
      <c r="F53" s="175"/>
      <c r="G53" s="175"/>
      <c r="H53" s="164"/>
      <c r="I53" s="164"/>
      <c r="J53" s="164"/>
      <c r="K53" s="164"/>
    </row>
    <row r="54" spans="5:11" x14ac:dyDescent="0.25">
      <c r="E54" s="165">
        <v>0</v>
      </c>
      <c r="F54" s="165" t="s">
        <v>129</v>
      </c>
      <c r="G54" s="165"/>
      <c r="H54" s="165">
        <v>0</v>
      </c>
      <c r="I54" s="165">
        <v>0</v>
      </c>
      <c r="J54" s="165">
        <v>0</v>
      </c>
      <c r="K54" s="165">
        <v>0</v>
      </c>
    </row>
    <row r="55" spans="5:11" x14ac:dyDescent="0.25">
      <c r="E55" s="165"/>
      <c r="F55" s="165" t="s">
        <v>160</v>
      </c>
      <c r="G55" s="165"/>
      <c r="H55" s="165"/>
      <c r="I55" s="165"/>
      <c r="J55" s="165"/>
      <c r="K55" s="165"/>
    </row>
    <row r="56" spans="5:11" ht="15.75" thickBot="1" x14ac:dyDescent="0.3">
      <c r="E56" s="172" t="e">
        <f>SUM(E9+E18+E29+E54+E33+E52)</f>
        <v>#REF!</v>
      </c>
      <c r="F56" s="172" t="s">
        <v>181</v>
      </c>
      <c r="G56" s="172"/>
      <c r="H56" s="172">
        <f>SUM(H9+H18+H29+H54+H33+H52)</f>
        <v>36.083333333333336</v>
      </c>
      <c r="I56" s="172">
        <f>SUM(I9+I18+I29+I54+I33+I52)</f>
        <v>45.215485431673997</v>
      </c>
      <c r="J56" s="172">
        <f>SUM(J9+J18+J29+J54+J33+J52)</f>
        <v>147.95074507450744</v>
      </c>
      <c r="K56" s="172">
        <f>SUM(K9+K18+K29+K54+K33+K52)</f>
        <v>230.69994110718494</v>
      </c>
    </row>
    <row r="57" spans="5:11" ht="15.75" thickBot="1" x14ac:dyDescent="0.3">
      <c r="E57" s="172" t="e">
        <f>E56/E70</f>
        <v>#REF!</v>
      </c>
      <c r="F57" s="172" t="s">
        <v>158</v>
      </c>
      <c r="G57" s="172"/>
      <c r="H57" s="222">
        <f>H56/H1</f>
        <v>7.2166666666666671E-2</v>
      </c>
      <c r="I57" s="222">
        <f>I56/I1</f>
        <v>4.5215485431673995E-2</v>
      </c>
      <c r="J57" s="222">
        <f>J56/J1</f>
        <v>2.9590149014901486E-2</v>
      </c>
      <c r="K57" s="222">
        <f>K56/K1</f>
        <v>2.3069994110718493E-2</v>
      </c>
    </row>
    <row r="58" spans="5:11" ht="18" thickBot="1" x14ac:dyDescent="0.35">
      <c r="E58" s="164"/>
      <c r="F58" s="191" t="s">
        <v>179</v>
      </c>
      <c r="G58" s="191" t="s">
        <v>153</v>
      </c>
      <c r="H58" s="164"/>
      <c r="I58" s="164"/>
      <c r="J58" s="164"/>
      <c r="K58" s="164"/>
    </row>
    <row r="59" spans="5:11" ht="18" thickTop="1" x14ac:dyDescent="0.25">
      <c r="E59" s="176">
        <f>$G$60*$E$9</f>
        <v>115.5</v>
      </c>
      <c r="F59" s="173" t="s">
        <v>126</v>
      </c>
      <c r="G59" s="176">
        <v>77</v>
      </c>
      <c r="H59" s="176">
        <f>$G$59*H9</f>
        <v>115.5</v>
      </c>
      <c r="I59" s="176">
        <f>$G$59*I9</f>
        <v>152.46</v>
      </c>
      <c r="J59" s="176">
        <f>$G$59*J9</f>
        <v>231</v>
      </c>
      <c r="K59" s="176">
        <f>$G$59*K9</f>
        <v>346.5</v>
      </c>
    </row>
    <row r="60" spans="5:11" ht="17.25" x14ac:dyDescent="0.25">
      <c r="E60" s="176">
        <f>$G$60*$E$18</f>
        <v>96.25</v>
      </c>
      <c r="F60" s="173" t="s">
        <v>210</v>
      </c>
      <c r="G60" s="176">
        <v>77</v>
      </c>
      <c r="H60" s="176">
        <f>$G$60*$H$18</f>
        <v>96.25</v>
      </c>
      <c r="I60" s="176">
        <f>$G$60*$I18</f>
        <v>127.05000000000001</v>
      </c>
      <c r="J60" s="176">
        <f>$G$60*J18</f>
        <v>192.5</v>
      </c>
      <c r="K60" s="176">
        <f>$G$60*K18</f>
        <v>288.75</v>
      </c>
    </row>
    <row r="61" spans="5:11" ht="17.25" x14ac:dyDescent="0.25">
      <c r="E61" s="176">
        <f>$G$61*$E$29</f>
        <v>137.5</v>
      </c>
      <c r="F61" s="173" t="s">
        <v>170</v>
      </c>
      <c r="G61" s="176">
        <v>110</v>
      </c>
      <c r="H61" s="176">
        <f>$G$61*$H$29</f>
        <v>2365</v>
      </c>
      <c r="I61" s="176">
        <f>$G$61*$I29</f>
        <v>2386.814084507042</v>
      </c>
      <c r="J61" s="176">
        <f>$G$61*J29</f>
        <v>7260.6930693069307</v>
      </c>
      <c r="K61" s="176">
        <f>$G$61*K29</f>
        <v>9564.4935217903421</v>
      </c>
    </row>
    <row r="62" spans="5:11" ht="17.25" x14ac:dyDescent="0.25">
      <c r="E62" s="176" t="e">
        <f>$G$62*$E$33</f>
        <v>#REF!</v>
      </c>
      <c r="F62" s="173" t="s">
        <v>169</v>
      </c>
      <c r="G62" s="176">
        <v>77</v>
      </c>
      <c r="H62" s="176">
        <f>$G$62*$H$33</f>
        <v>0</v>
      </c>
      <c r="I62" s="176">
        <f>$G$62*I33</f>
        <v>0</v>
      </c>
      <c r="J62" s="176">
        <f>$G$62*J33</f>
        <v>0</v>
      </c>
      <c r="K62" s="176">
        <f>$G$62*K33</f>
        <v>0</v>
      </c>
    </row>
    <row r="63" spans="5:11" ht="17.25" x14ac:dyDescent="0.25">
      <c r="E63" s="176">
        <f>$G$63*$E$52</f>
        <v>182.49</v>
      </c>
      <c r="F63" s="173" t="s">
        <v>67</v>
      </c>
      <c r="G63" s="176">
        <v>77</v>
      </c>
      <c r="H63" s="176">
        <f>$G$63*$H52</f>
        <v>911.16666666666674</v>
      </c>
      <c r="I63" s="176">
        <f>$G$63*$I52</f>
        <v>1531.312519083968</v>
      </c>
      <c r="J63" s="176">
        <f>$G$63*$J52</f>
        <v>5886.2222222222217</v>
      </c>
      <c r="K63" s="176">
        <f>$G$63*$K52</f>
        <v>10433.5</v>
      </c>
    </row>
    <row r="64" spans="5:11" x14ac:dyDescent="0.25">
      <c r="E64" s="164"/>
      <c r="F64" s="164"/>
      <c r="G64" s="164"/>
      <c r="H64" s="164"/>
      <c r="I64" s="164"/>
      <c r="J64" s="164"/>
      <c r="K64" s="164"/>
    </row>
    <row r="65" spans="5:15" x14ac:dyDescent="0.25">
      <c r="E65" s="165">
        <v>1</v>
      </c>
      <c r="F65" s="165" t="s">
        <v>151</v>
      </c>
      <c r="G65" s="165">
        <v>1</v>
      </c>
      <c r="H65" s="165">
        <v>1</v>
      </c>
      <c r="I65" s="165">
        <v>1</v>
      </c>
      <c r="J65" s="165">
        <v>1</v>
      </c>
      <c r="K65" s="165">
        <v>1</v>
      </c>
    </row>
    <row r="66" spans="5:15" x14ac:dyDescent="0.25">
      <c r="E66" s="165">
        <v>1</v>
      </c>
      <c r="F66" s="165" t="s">
        <v>118</v>
      </c>
      <c r="G66" s="165">
        <v>1</v>
      </c>
      <c r="H66" s="165">
        <v>1</v>
      </c>
      <c r="I66" s="165">
        <v>1</v>
      </c>
      <c r="J66" s="165">
        <v>1</v>
      </c>
      <c r="K66" s="165">
        <v>1</v>
      </c>
    </row>
    <row r="67" spans="5:15" x14ac:dyDescent="0.25">
      <c r="E67" s="165">
        <v>1</v>
      </c>
      <c r="F67" s="165" t="s">
        <v>152</v>
      </c>
      <c r="G67" s="165" t="s">
        <v>108</v>
      </c>
      <c r="H67" s="165"/>
      <c r="I67" s="165"/>
      <c r="J67" s="165"/>
      <c r="K67" s="165"/>
    </row>
    <row r="68" spans="5:15" ht="15.75" thickBot="1" x14ac:dyDescent="0.3">
      <c r="E68" s="189" t="e">
        <f>SUM(E59:E63)*E65*E66*E67*$N$4</f>
        <v>#REF!</v>
      </c>
      <c r="F68" s="172" t="s">
        <v>159</v>
      </c>
      <c r="G68" s="177"/>
      <c r="H68" s="189">
        <f>SUM((H59+H60+H61+H62+H63)*H65*H66*H77*H81*H82*H84)</f>
        <v>4764.1758942708339</v>
      </c>
      <c r="I68" s="189">
        <f t="shared" ref="I68:K68" si="20">SUM((I59+I60+I61+I62+I63)*I65*I66*I77*I81*I82*I84)</f>
        <v>5733.5885661652437</v>
      </c>
      <c r="J68" s="189">
        <f t="shared" si="20"/>
        <v>18535.948987833472</v>
      </c>
      <c r="K68" s="189">
        <f t="shared" si="20"/>
        <v>28183.127867294243</v>
      </c>
    </row>
    <row r="69" spans="5:15" ht="15.75" thickBot="1" x14ac:dyDescent="0.3">
      <c r="E69" s="187" t="e">
        <f>E68/E70</f>
        <v>#REF!</v>
      </c>
      <c r="F69" s="172" t="s">
        <v>149</v>
      </c>
      <c r="G69" s="172"/>
      <c r="H69" s="189">
        <f>H68/H70</f>
        <v>9.5283517885416682</v>
      </c>
      <c r="I69" s="189">
        <f t="shared" ref="I69:K69" si="21">I68/I70</f>
        <v>5.7335885661652437</v>
      </c>
      <c r="J69" s="189">
        <f t="shared" si="21"/>
        <v>3.7071897975666945</v>
      </c>
      <c r="K69" s="189">
        <f t="shared" si="21"/>
        <v>2.8183127867294244</v>
      </c>
    </row>
    <row r="70" spans="5:15" ht="18" thickBot="1" x14ac:dyDescent="0.3">
      <c r="E70" s="188">
        <v>5</v>
      </c>
      <c r="F70" s="168" t="s">
        <v>150</v>
      </c>
      <c r="G70" s="168"/>
      <c r="H70" s="168">
        <f>H1</f>
        <v>500</v>
      </c>
      <c r="I70" s="168">
        <f>I1</f>
        <v>1000</v>
      </c>
      <c r="J70" s="168">
        <f>J1</f>
        <v>5000</v>
      </c>
      <c r="K70" s="168">
        <f>K1</f>
        <v>10000</v>
      </c>
    </row>
    <row r="71" spans="5:15" ht="15.75" thickTop="1" x14ac:dyDescent="0.25">
      <c r="F71" s="3" t="s">
        <v>112</v>
      </c>
      <c r="G71" s="288" t="s">
        <v>111</v>
      </c>
      <c r="H71" s="289"/>
      <c r="I71" s="289"/>
      <c r="J71" s="289"/>
      <c r="K71" s="289"/>
    </row>
    <row r="72" spans="5:15" x14ac:dyDescent="0.25">
      <c r="G72" s="290"/>
      <c r="H72" s="291"/>
      <c r="I72" s="291"/>
      <c r="J72" s="291"/>
      <c r="K72" s="291"/>
    </row>
    <row r="73" spans="5:15" x14ac:dyDescent="0.25">
      <c r="G73" s="292"/>
      <c r="H73" s="293"/>
      <c r="I73" s="293"/>
      <c r="J73" s="293"/>
      <c r="K73" s="293"/>
    </row>
    <row r="74" spans="5:15" ht="34.5" x14ac:dyDescent="0.25">
      <c r="M74" s="224" t="s">
        <v>128</v>
      </c>
      <c r="N74" s="224" t="s">
        <v>193</v>
      </c>
      <c r="O74" s="224" t="s">
        <v>192</v>
      </c>
    </row>
    <row r="75" spans="5:15" x14ac:dyDescent="0.25">
      <c r="F75" s="56" t="s">
        <v>180</v>
      </c>
      <c r="G75" s="228">
        <v>1</v>
      </c>
      <c r="H75" s="164">
        <f>($G$59*(H9/H56))+($G$60*(H18/H56))+($G$61*(H29/H56))+($G$62*(H33/H56))+($G$63*(H52/H56))</f>
        <v>96.662817551963045</v>
      </c>
      <c r="I75" s="164">
        <f>($G$59*(I9/I56))+($G$60*(I18/I56))+($G$61*(I29/I56))+($G$62*(I33/I56))+($G$63*(I52/I56))</f>
        <v>92.836260929546825</v>
      </c>
      <c r="J75" s="164">
        <f>($G$59*(J9/J56))+($G$60*(J18/J56))+($G$61*(J29/J56))+($G$62*(J33/J56))+($G$63*(J52/J56))</f>
        <v>91.72252079362724</v>
      </c>
      <c r="K75" s="164">
        <f>($G$59*(K9/K56))+($G$60*(K18/K56))+($G$61*(K29/K56))+($G$62*(K33/K56))+($G$63*(K52/K56))</f>
        <v>89.437576025231763</v>
      </c>
      <c r="M75" s="201" t="s">
        <v>127</v>
      </c>
      <c r="N75" s="201">
        <v>1</v>
      </c>
      <c r="O75" s="201">
        <v>1</v>
      </c>
    </row>
    <row r="76" spans="5:15" x14ac:dyDescent="0.25">
      <c r="M76" s="165" t="s">
        <v>125</v>
      </c>
      <c r="N76" s="165">
        <v>1.05</v>
      </c>
      <c r="O76" s="165">
        <v>1.1000000000000001</v>
      </c>
    </row>
    <row r="77" spans="5:15" x14ac:dyDescent="0.25">
      <c r="F77" s="165" t="s">
        <v>193</v>
      </c>
      <c r="G77" s="165"/>
      <c r="H77" s="165">
        <f>VLOOKUP(H78,M75:N84,2,FALSE)</f>
        <v>1.25</v>
      </c>
      <c r="I77" s="165">
        <f>VLOOKUP(I78,M75:N84,2,FALSE)</f>
        <v>1.25</v>
      </c>
      <c r="J77" s="165">
        <f>VLOOKUP(J78,M75:N84,2,FALSE)</f>
        <v>1.25</v>
      </c>
      <c r="K77" s="165">
        <f>VLOOKUP(K78,M75:N84,2,FALSE)</f>
        <v>1.25</v>
      </c>
      <c r="M77" s="183" t="s">
        <v>124</v>
      </c>
      <c r="N77" s="165">
        <v>1.1000000000000001</v>
      </c>
      <c r="O77" s="165">
        <v>1.2</v>
      </c>
    </row>
    <row r="78" spans="5:15" x14ac:dyDescent="0.25">
      <c r="F78" s="165" t="s">
        <v>182</v>
      </c>
      <c r="G78" s="165"/>
      <c r="H78" s="165" t="s">
        <v>121</v>
      </c>
      <c r="I78" s="165" t="s">
        <v>121</v>
      </c>
      <c r="J78" s="165" t="s">
        <v>121</v>
      </c>
      <c r="K78" s="165" t="s">
        <v>121</v>
      </c>
      <c r="M78" s="183" t="s">
        <v>123</v>
      </c>
      <c r="N78" s="165">
        <v>1.1499999999999999</v>
      </c>
      <c r="O78" s="165">
        <v>1.3</v>
      </c>
    </row>
    <row r="79" spans="5:15" x14ac:dyDescent="0.25">
      <c r="F79" s="164"/>
      <c r="G79" s="164"/>
      <c r="H79" s="164"/>
      <c r="I79" s="164"/>
      <c r="J79" s="164"/>
      <c r="K79" s="164"/>
      <c r="M79" s="184" t="s">
        <v>122</v>
      </c>
      <c r="N79" s="165">
        <v>1.2</v>
      </c>
      <c r="O79" s="165">
        <v>1.4</v>
      </c>
    </row>
    <row r="80" spans="5:15" ht="26.25" x14ac:dyDescent="0.25">
      <c r="F80" s="282" t="s">
        <v>232</v>
      </c>
      <c r="G80" s="272"/>
      <c r="H80" s="272"/>
      <c r="I80" s="272"/>
      <c r="J80" s="272"/>
      <c r="K80" s="272"/>
      <c r="M80" s="184" t="s">
        <v>121</v>
      </c>
      <c r="N80" s="165">
        <v>1.25</v>
      </c>
      <c r="O80" s="165">
        <v>1.5</v>
      </c>
    </row>
    <row r="81" spans="4:15" x14ac:dyDescent="0.25">
      <c r="F81" s="165" t="s">
        <v>216</v>
      </c>
      <c r="G81" s="165" t="str">
        <f>'larger kit calc, sec per part'!G2</f>
        <v>Yes</v>
      </c>
      <c r="H81" s="165">
        <v>1.03</v>
      </c>
      <c r="I81" s="165">
        <v>1.03</v>
      </c>
      <c r="J81" s="165">
        <v>1.03</v>
      </c>
      <c r="K81" s="165">
        <v>1.03</v>
      </c>
      <c r="M81" s="184" t="s">
        <v>120</v>
      </c>
      <c r="N81" s="165">
        <v>1.3</v>
      </c>
      <c r="O81" s="165">
        <v>1.6</v>
      </c>
    </row>
    <row r="82" spans="4:15" x14ac:dyDescent="0.25">
      <c r="F82" s="165" t="s">
        <v>217</v>
      </c>
      <c r="G82" s="165" t="str">
        <f>'larger kit calc, sec per part'!G3</f>
        <v>Yes</v>
      </c>
      <c r="H82" s="165">
        <v>1.03</v>
      </c>
      <c r="I82" s="165">
        <v>1.03</v>
      </c>
      <c r="J82" s="165">
        <v>1.03</v>
      </c>
      <c r="K82" s="165">
        <v>1.03</v>
      </c>
      <c r="M82" s="183" t="s">
        <v>119</v>
      </c>
      <c r="N82" s="165">
        <v>1.35</v>
      </c>
      <c r="O82" s="165">
        <v>1.7</v>
      </c>
    </row>
    <row r="83" spans="4:15" ht="15" customHeight="1" x14ac:dyDescent="0.25">
      <c r="F83" s="165" t="s">
        <v>219</v>
      </c>
      <c r="G83" s="165" t="str">
        <f>'larger kit calc, sec per part'!I2</f>
        <v>No</v>
      </c>
      <c r="H83" s="165">
        <v>1.03</v>
      </c>
      <c r="I83" s="165">
        <v>1.03</v>
      </c>
      <c r="J83" s="165">
        <v>1.03</v>
      </c>
      <c r="K83" s="165">
        <v>1.03</v>
      </c>
      <c r="M83" s="183" t="s">
        <v>117</v>
      </c>
      <c r="N83" s="165">
        <v>1.4</v>
      </c>
      <c r="O83" s="165">
        <v>1.8</v>
      </c>
    </row>
    <row r="84" spans="4:15" ht="17.25" customHeight="1" thickBot="1" x14ac:dyDescent="0.3">
      <c r="D84" s="172" t="s">
        <v>194</v>
      </c>
      <c r="F84" s="165" t="s">
        <v>218</v>
      </c>
      <c r="G84" s="165" t="str">
        <f>'larger kit calc, sec per part'!I3</f>
        <v>Yes</v>
      </c>
      <c r="H84" s="165">
        <v>1.03</v>
      </c>
      <c r="I84" s="165">
        <v>1.03</v>
      </c>
      <c r="J84" s="165">
        <v>1.03</v>
      </c>
      <c r="K84" s="165">
        <v>1.03</v>
      </c>
      <c r="M84" s="201" t="s">
        <v>116</v>
      </c>
      <c r="N84" s="201">
        <v>1.45</v>
      </c>
      <c r="O84" s="201">
        <v>1.9</v>
      </c>
    </row>
    <row r="85" spans="4:15" x14ac:dyDescent="0.25">
      <c r="D85" s="187" t="s">
        <v>203</v>
      </c>
      <c r="F85" s="165" t="s">
        <v>221</v>
      </c>
      <c r="G85" s="165" t="str">
        <f>'larger kit calc, sec per part'!P2</f>
        <v>No</v>
      </c>
      <c r="H85" s="165">
        <v>1.03</v>
      </c>
      <c r="I85" s="165">
        <v>1.03</v>
      </c>
      <c r="J85" s="165">
        <v>1.03</v>
      </c>
      <c r="K85" s="165">
        <v>1.03</v>
      </c>
    </row>
    <row r="86" spans="4:15" ht="17.25" x14ac:dyDescent="0.25">
      <c r="D86" s="188" t="s">
        <v>195</v>
      </c>
      <c r="F86" s="165" t="s">
        <v>220</v>
      </c>
      <c r="G86" s="165" t="str">
        <f>'larger kit calc, sec per part'!P3</f>
        <v>No</v>
      </c>
      <c r="H86" s="165">
        <v>1.03</v>
      </c>
      <c r="I86" s="165">
        <v>1.03</v>
      </c>
      <c r="J86" s="165">
        <v>1.03</v>
      </c>
      <c r="K86" s="165">
        <v>1.03</v>
      </c>
    </row>
    <row r="87" spans="4:15" ht="15.75" customHeight="1" x14ac:dyDescent="0.25"/>
    <row r="90" spans="4:15" ht="15" customHeight="1" x14ac:dyDescent="0.25"/>
    <row r="91" spans="4:15" ht="15" customHeight="1" x14ac:dyDescent="0.25"/>
    <row r="96" spans="4:15" ht="31.5" customHeight="1" x14ac:dyDescent="0.25"/>
  </sheetData>
  <mergeCells count="9">
    <mergeCell ref="F80:K80"/>
    <mergeCell ref="M14:O14"/>
    <mergeCell ref="M19:O19"/>
    <mergeCell ref="A10:C12"/>
    <mergeCell ref="G71:K73"/>
    <mergeCell ref="N15:O15"/>
    <mergeCell ref="N16:O16"/>
    <mergeCell ref="N17:O17"/>
    <mergeCell ref="N18:O18"/>
  </mergeCells>
  <phoneticPr fontId="24" type="noConversion"/>
  <dataValidations count="1">
    <dataValidation type="list" allowBlank="1" showInputMessage="1" showErrorMessage="1" sqref="B27:C32 B7 G78:K79 B33" xr:uid="{16B8E901-DE37-4E6D-ADC8-5039F4602DF4}">
      <formula1>$A$15:$A$23</formula1>
    </dataValidation>
  </dataValidations>
  <pageMargins left="0.7" right="0.7" top="0.75" bottom="0.75" header="0.3" footer="0.3"/>
  <legacyDrawing r:id="rId1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sheetPr>
    <tabColor rgb="FF00B0F0"/>
    <pageSetUpPr fitToPage="1"/>
  </sheetPr>
  <dimension ref="B1:AE49"/>
  <sheetViews>
    <sheetView topLeftCell="A9" zoomScaleNormal="100" workbookViewId="0">
      <selection activeCell="C18" sqref="C18"/>
    </sheetView>
  </sheetViews>
  <sheetFormatPr defaultRowHeight="15" x14ac:dyDescent="0.25"/>
  <cols>
    <col min="1" max="1" width="4.85546875" customWidth="1"/>
    <col min="2" max="2" width="36.7109375" customWidth="1"/>
    <col min="5" max="5" width="1.7109375" customWidth="1"/>
    <col min="6" max="6" width="10.7109375" customWidth="1"/>
    <col min="8" max="8" width="9.5703125" bestFit="1" customWidth="1"/>
    <col min="9" max="9" width="9.28515625" bestFit="1" customWidth="1"/>
    <col min="10" max="10" width="1.5703125" customWidth="1"/>
    <col min="11" max="11" width="2" customWidth="1"/>
    <col min="12" max="12" width="12.85546875" bestFit="1" customWidth="1"/>
    <col min="15" max="15" width="11.5703125" bestFit="1" customWidth="1"/>
    <col min="17" max="17" width="10.140625" bestFit="1" customWidth="1"/>
    <col min="18" max="18" width="15" customWidth="1"/>
    <col min="19" max="19" width="9" bestFit="1" customWidth="1"/>
    <col min="20" max="20" width="7.85546875" bestFit="1" customWidth="1"/>
    <col min="21" max="21" width="9.5703125" bestFit="1" customWidth="1"/>
    <col min="22" max="22" width="10.42578125" bestFit="1" customWidth="1"/>
    <col min="23" max="23" width="11.140625" bestFit="1" customWidth="1"/>
    <col min="25" max="25" width="11.85546875" bestFit="1" customWidth="1"/>
    <col min="26" max="26" width="13.140625" bestFit="1" customWidth="1"/>
    <col min="28" max="28" width="12.140625" bestFit="1" customWidth="1"/>
    <col min="31" max="31" width="10.28515625" bestFit="1" customWidth="1"/>
  </cols>
  <sheetData>
    <row r="1" spans="2:31" ht="15.75" x14ac:dyDescent="0.25">
      <c r="B1" s="145" t="s">
        <v>74</v>
      </c>
      <c r="C1" s="160"/>
      <c r="D1" s="160"/>
      <c r="F1" s="305" t="s">
        <v>201</v>
      </c>
      <c r="G1" s="305"/>
      <c r="H1" s="305"/>
      <c r="I1" s="305"/>
      <c r="K1" s="305" t="s">
        <v>201</v>
      </c>
      <c r="L1" s="305"/>
      <c r="M1" s="305"/>
      <c r="N1" s="305"/>
      <c r="O1" s="305"/>
      <c r="P1" s="223" t="s">
        <v>106</v>
      </c>
      <c r="Q1" s="306" t="s">
        <v>105</v>
      </c>
      <c r="R1" s="307"/>
      <c r="T1" s="145" t="s">
        <v>101</v>
      </c>
      <c r="U1" s="160"/>
      <c r="V1" s="160"/>
      <c r="W1" s="160"/>
      <c r="X1" s="160"/>
      <c r="Y1" s="160"/>
    </row>
    <row r="2" spans="2:31" ht="31.5" x14ac:dyDescent="0.25">
      <c r="B2" s="169" t="s">
        <v>90</v>
      </c>
      <c r="C2" s="272" t="s">
        <v>200</v>
      </c>
      <c r="D2" s="272"/>
      <c r="F2" s="165" t="s">
        <v>83</v>
      </c>
      <c r="G2" s="165" t="s">
        <v>102</v>
      </c>
      <c r="H2" s="169" t="s">
        <v>212</v>
      </c>
      <c r="I2" s="165" t="s">
        <v>103</v>
      </c>
      <c r="K2" s="299" t="s">
        <v>223</v>
      </c>
      <c r="L2" s="300"/>
      <c r="M2" s="163" t="s">
        <v>102</v>
      </c>
      <c r="N2" s="299" t="s">
        <v>221</v>
      </c>
      <c r="O2" s="300"/>
      <c r="P2" s="163" t="s">
        <v>103</v>
      </c>
      <c r="Q2" s="165" t="s">
        <v>94</v>
      </c>
      <c r="R2" s="231" t="s">
        <v>227</v>
      </c>
      <c r="S2" s="162"/>
      <c r="AD2" s="164" t="s">
        <v>102</v>
      </c>
    </row>
    <row r="3" spans="2:31" ht="30" customHeight="1" x14ac:dyDescent="0.25">
      <c r="B3" s="296" t="s">
        <v>202</v>
      </c>
      <c r="C3" s="272" t="e">
        <f>C2/4</f>
        <v>#VALUE!</v>
      </c>
      <c r="D3" s="272" t="s">
        <v>87</v>
      </c>
      <c r="F3" s="165" t="s">
        <v>84</v>
      </c>
      <c r="G3" s="165" t="s">
        <v>102</v>
      </c>
      <c r="H3" s="169" t="s">
        <v>213</v>
      </c>
      <c r="I3" s="165" t="s">
        <v>102</v>
      </c>
      <c r="K3" s="299" t="s">
        <v>224</v>
      </c>
      <c r="L3" s="300"/>
      <c r="M3" s="163" t="s">
        <v>103</v>
      </c>
      <c r="N3" s="299" t="s">
        <v>220</v>
      </c>
      <c r="O3" s="300"/>
      <c r="P3" s="163" t="s">
        <v>103</v>
      </c>
      <c r="Q3" s="165" t="s">
        <v>95</v>
      </c>
      <c r="R3" s="231" t="s">
        <v>227</v>
      </c>
      <c r="AD3" s="164" t="s">
        <v>103</v>
      </c>
    </row>
    <row r="4" spans="2:31" ht="19.5" customHeight="1" x14ac:dyDescent="0.25">
      <c r="B4" s="296"/>
      <c r="C4" s="272"/>
      <c r="D4" s="272"/>
      <c r="F4" s="164"/>
      <c r="G4" s="164"/>
      <c r="K4" s="299" t="s">
        <v>199</v>
      </c>
      <c r="L4" s="301"/>
      <c r="M4" s="301"/>
      <c r="N4" s="301"/>
      <c r="O4" s="300"/>
      <c r="P4" s="163" t="s">
        <v>103</v>
      </c>
      <c r="Q4" s="297" t="s">
        <v>200</v>
      </c>
      <c r="R4" s="298"/>
      <c r="AD4" s="164" t="s">
        <v>104</v>
      </c>
    </row>
    <row r="5" spans="2:31" ht="15.75" x14ac:dyDescent="0.25">
      <c r="B5" s="165" t="s">
        <v>91</v>
      </c>
      <c r="C5" s="299"/>
      <c r="D5" s="300"/>
      <c r="F5" t="s">
        <v>85</v>
      </c>
      <c r="K5" s="299" t="s">
        <v>77</v>
      </c>
      <c r="L5" s="301"/>
      <c r="M5" s="301"/>
      <c r="N5" s="301"/>
      <c r="O5" s="300"/>
      <c r="P5" s="163" t="s">
        <v>103</v>
      </c>
      <c r="Q5" s="297" t="s">
        <v>200</v>
      </c>
      <c r="R5" s="298"/>
      <c r="AD5" s="164"/>
    </row>
    <row r="6" spans="2:31" ht="31.5" customHeight="1" x14ac:dyDescent="0.25">
      <c r="B6" s="296" t="s">
        <v>89</v>
      </c>
      <c r="C6" s="165" t="e">
        <f>C2*C5</f>
        <v>#VALUE!</v>
      </c>
      <c r="D6" s="165" t="s">
        <v>86</v>
      </c>
      <c r="F6" s="296" t="s">
        <v>226</v>
      </c>
      <c r="G6" s="296"/>
      <c r="H6" s="296"/>
      <c r="I6" s="230">
        <v>0</v>
      </c>
      <c r="K6" s="299" t="s">
        <v>76</v>
      </c>
      <c r="L6" s="301"/>
      <c r="M6" s="301"/>
      <c r="N6" s="301"/>
      <c r="O6" s="300"/>
      <c r="P6" s="163" t="s">
        <v>103</v>
      </c>
      <c r="Q6" s="297" t="s">
        <v>200</v>
      </c>
      <c r="R6" s="298"/>
    </row>
    <row r="7" spans="2:31" ht="34.5" customHeight="1" x14ac:dyDescent="0.25">
      <c r="B7" s="296"/>
      <c r="C7" s="165" t="e">
        <f>C6/60</f>
        <v>#VALUE!</v>
      </c>
      <c r="D7" s="165" t="s">
        <v>87</v>
      </c>
      <c r="F7" s="296" t="s">
        <v>225</v>
      </c>
      <c r="G7" s="296"/>
      <c r="H7" s="296"/>
      <c r="I7" s="230">
        <f>(I6*15)/60</f>
        <v>0</v>
      </c>
      <c r="K7" s="272" t="s">
        <v>78</v>
      </c>
      <c r="L7" s="272"/>
      <c r="M7" s="272"/>
      <c r="N7" s="272"/>
      <c r="O7" s="272"/>
      <c r="P7" s="163" t="s">
        <v>103</v>
      </c>
      <c r="Q7" s="297" t="s">
        <v>200</v>
      </c>
      <c r="R7" s="298"/>
    </row>
    <row r="8" spans="2:31" ht="46.5" customHeight="1" x14ac:dyDescent="0.25">
      <c r="B8" s="169" t="s">
        <v>214</v>
      </c>
      <c r="C8" s="165">
        <v>5.3</v>
      </c>
      <c r="D8" s="165" t="s">
        <v>87</v>
      </c>
      <c r="F8" s="296" t="s">
        <v>228</v>
      </c>
      <c r="G8" s="296"/>
      <c r="H8" s="296"/>
      <c r="I8" s="230">
        <v>0</v>
      </c>
      <c r="K8" s="296" t="s">
        <v>215</v>
      </c>
      <c r="L8" s="296"/>
      <c r="M8" s="296"/>
      <c r="N8" s="296"/>
      <c r="O8" s="296"/>
      <c r="P8" s="163" t="s">
        <v>103</v>
      </c>
      <c r="Q8" s="297" t="s">
        <v>200</v>
      </c>
      <c r="R8" s="298"/>
    </row>
    <row r="9" spans="2:31" ht="32.25" customHeight="1" x14ac:dyDescent="0.25">
      <c r="B9" s="165" t="s">
        <v>88</v>
      </c>
      <c r="C9" s="165" t="e">
        <f>SUM(C4+C7+C8)</f>
        <v>#VALUE!</v>
      </c>
      <c r="D9" s="165" t="s">
        <v>87</v>
      </c>
      <c r="F9" s="302" t="s">
        <v>229</v>
      </c>
      <c r="G9" s="303"/>
      <c r="H9" s="304"/>
      <c r="I9" s="230">
        <f>(I8*15)/60</f>
        <v>0</v>
      </c>
      <c r="K9" s="272" t="s">
        <v>75</v>
      </c>
      <c r="L9" s="272"/>
      <c r="M9" s="272"/>
      <c r="N9" s="272"/>
      <c r="O9" s="272"/>
      <c r="P9" s="163" t="s">
        <v>103</v>
      </c>
      <c r="Q9" s="297" t="s">
        <v>200</v>
      </c>
      <c r="R9" s="298"/>
    </row>
    <row r="11" spans="2:31" x14ac:dyDescent="0.25">
      <c r="B11" s="51" t="s">
        <v>233</v>
      </c>
      <c r="C11" s="28" t="s">
        <v>236</v>
      </c>
      <c r="D11" s="28"/>
      <c r="E11" s="28"/>
      <c r="F11" s="165" t="s">
        <v>41</v>
      </c>
      <c r="G11" s="40"/>
      <c r="H11" s="40"/>
      <c r="I11" s="40"/>
      <c r="J11" s="40"/>
      <c r="K11" s="52"/>
      <c r="L11" s="28"/>
      <c r="M11" s="28"/>
      <c r="N11" s="28"/>
      <c r="O11" s="53"/>
      <c r="S11" s="65"/>
      <c r="T11" s="65"/>
      <c r="U11" s="65"/>
      <c r="V11" s="65"/>
      <c r="W11" s="65"/>
      <c r="Y11" t="s">
        <v>47</v>
      </c>
      <c r="Z11" t="s">
        <v>48</v>
      </c>
      <c r="AB11" t="s">
        <v>50</v>
      </c>
    </row>
    <row r="12" spans="2:31" x14ac:dyDescent="0.25">
      <c r="B12" s="39" t="s">
        <v>234</v>
      </c>
      <c r="F12" s="196">
        <v>500</v>
      </c>
      <c r="G12" s="41"/>
      <c r="H12" s="41"/>
      <c r="I12" s="41"/>
      <c r="J12" s="41"/>
      <c r="K12" s="29"/>
      <c r="O12" s="30"/>
      <c r="S12" s="65"/>
      <c r="T12" s="65"/>
      <c r="U12" s="65"/>
      <c r="V12" s="65"/>
      <c r="W12" s="65"/>
      <c r="AB12" s="68"/>
    </row>
    <row r="13" spans="2:31" x14ac:dyDescent="0.25">
      <c r="B13" s="254" t="s">
        <v>235</v>
      </c>
      <c r="F13" s="29"/>
      <c r="H13" s="37"/>
      <c r="K13" s="29"/>
      <c r="L13" s="54" t="s">
        <v>42</v>
      </c>
      <c r="N13" s="55" t="s">
        <v>9</v>
      </c>
      <c r="O13" s="56" t="s">
        <v>43</v>
      </c>
      <c r="Q13" s="75" t="s">
        <v>51</v>
      </c>
      <c r="R13" s="65" t="s">
        <v>52</v>
      </c>
      <c r="S13" s="65" t="s">
        <v>53</v>
      </c>
      <c r="T13" s="65" t="s">
        <v>54</v>
      </c>
      <c r="U13" s="65" t="s">
        <v>55</v>
      </c>
      <c r="V13" s="65" t="s">
        <v>34</v>
      </c>
      <c r="W13" s="65" t="s">
        <v>56</v>
      </c>
      <c r="AB13" s="68"/>
      <c r="AD13" s="3" t="s">
        <v>46</v>
      </c>
    </row>
    <row r="14" spans="2:31" x14ac:dyDescent="0.25">
      <c r="B14" s="38"/>
      <c r="C14" s="34" t="s">
        <v>37</v>
      </c>
      <c r="D14" s="26" t="s">
        <v>38</v>
      </c>
      <c r="F14" s="33" t="s">
        <v>37</v>
      </c>
      <c r="G14" s="8" t="s">
        <v>4</v>
      </c>
      <c r="H14" s="57" t="s">
        <v>39</v>
      </c>
      <c r="I14" s="58" t="s">
        <v>0</v>
      </c>
      <c r="K14" s="29"/>
      <c r="L14" s="59" t="s">
        <v>44</v>
      </c>
      <c r="N14" s="60" t="s">
        <v>44</v>
      </c>
      <c r="O14" s="61" t="s">
        <v>45</v>
      </c>
      <c r="Q14" s="75" t="s">
        <v>57</v>
      </c>
      <c r="R14" s="5"/>
      <c r="S14" s="73" t="s">
        <v>58</v>
      </c>
      <c r="T14" s="73" t="s">
        <v>49</v>
      </c>
      <c r="U14" s="73" t="s">
        <v>49</v>
      </c>
      <c r="V14" s="73" t="s">
        <v>49</v>
      </c>
      <c r="W14" s="73" t="s">
        <v>59</v>
      </c>
      <c r="AB14" s="68"/>
      <c r="AD14" s="8" t="s">
        <v>26</v>
      </c>
    </row>
    <row r="15" spans="2:31" x14ac:dyDescent="0.25">
      <c r="B15" s="35" t="s">
        <v>35</v>
      </c>
      <c r="C15" s="29">
        <v>7</v>
      </c>
      <c r="D15" s="30">
        <v>6</v>
      </c>
      <c r="F15" s="29">
        <f>C15*$F12</f>
        <v>3500</v>
      </c>
      <c r="G15" s="1">
        <f>3600/H15</f>
        <v>20.571428571428573</v>
      </c>
      <c r="H15" s="197">
        <v>175</v>
      </c>
      <c r="I15" s="1">
        <f>F15/H15</f>
        <v>20</v>
      </c>
      <c r="K15" s="29"/>
      <c r="L15" s="84">
        <f>I15+I16+I7</f>
        <v>20</v>
      </c>
      <c r="M15" s="62">
        <f>L15/$L19</f>
        <v>0.70588235294117641</v>
      </c>
      <c r="N15" s="63">
        <v>110</v>
      </c>
      <c r="O15" s="64">
        <f>M15*N15</f>
        <v>77.647058823529406</v>
      </c>
      <c r="Q15" s="76">
        <f>IFERROR(R15/L15,"")</f>
        <v>110</v>
      </c>
      <c r="R15" s="4">
        <f>L15*N15</f>
        <v>2200</v>
      </c>
      <c r="S15" s="69">
        <f>(D15+D16)*(3.75/60)</f>
        <v>0.375</v>
      </c>
      <c r="T15" s="69">
        <f>(I15-S15)/3</f>
        <v>6.541666666666667</v>
      </c>
      <c r="U15" s="84">
        <f>L15</f>
        <v>20</v>
      </c>
      <c r="V15" s="65"/>
      <c r="W15" s="65"/>
      <c r="Y15" s="68">
        <f>I15/3</f>
        <v>6.666666666666667</v>
      </c>
      <c r="Z15" s="83">
        <f>Y15/6.5</f>
        <v>1.0256410256410258</v>
      </c>
      <c r="AB15" s="68">
        <f>I15/Y15</f>
        <v>3</v>
      </c>
      <c r="AD15" s="1">
        <f>L15*3600/(F15+F16)</f>
        <v>20.571428571428573</v>
      </c>
      <c r="AE15">
        <f>(F15+F16)/L15</f>
        <v>175</v>
      </c>
    </row>
    <row r="16" spans="2:31" x14ac:dyDescent="0.25">
      <c r="B16" s="35" t="s">
        <v>107</v>
      </c>
      <c r="C16" s="29">
        <v>0</v>
      </c>
      <c r="D16" s="30">
        <v>0</v>
      </c>
      <c r="F16" s="29">
        <f>C16*$F12</f>
        <v>0</v>
      </c>
      <c r="G16" s="1">
        <f>3600/H16</f>
        <v>41.142857142857146</v>
      </c>
      <c r="H16" s="197">
        <f>50%*H15</f>
        <v>87.5</v>
      </c>
      <c r="I16" s="1">
        <f>F16/H16</f>
        <v>0</v>
      </c>
      <c r="K16" s="29"/>
      <c r="L16" s="69"/>
      <c r="M16" s="62"/>
      <c r="N16" s="65"/>
      <c r="O16" s="30"/>
      <c r="Q16" s="75"/>
      <c r="R16" s="4"/>
      <c r="S16" s="65"/>
      <c r="T16" s="65"/>
      <c r="U16" s="65"/>
      <c r="V16" s="65"/>
      <c r="W16" s="65"/>
      <c r="AB16" s="68"/>
    </row>
    <row r="17" spans="2:31" x14ac:dyDescent="0.25">
      <c r="B17" s="35" t="s">
        <v>36</v>
      </c>
      <c r="C17" s="29">
        <v>0</v>
      </c>
      <c r="D17" s="30">
        <v>0</v>
      </c>
      <c r="F17" s="29">
        <f>C17*$F12</f>
        <v>0</v>
      </c>
      <c r="G17" s="1">
        <f t="shared" ref="G17:G18" si="0">3600/H17</f>
        <v>3600</v>
      </c>
      <c r="H17" s="218">
        <v>1</v>
      </c>
      <c r="I17" s="1">
        <f>F17/H17</f>
        <v>0</v>
      </c>
      <c r="K17" s="29"/>
      <c r="L17" s="69"/>
      <c r="M17" s="62"/>
      <c r="N17" s="65"/>
      <c r="O17" s="30"/>
      <c r="Q17" s="75"/>
      <c r="R17" s="4"/>
      <c r="S17" s="65"/>
      <c r="T17" s="65"/>
      <c r="U17" s="65"/>
      <c r="V17" s="65"/>
      <c r="W17" s="65"/>
      <c r="AB17" s="68"/>
    </row>
    <row r="18" spans="2:31" x14ac:dyDescent="0.25">
      <c r="B18" s="36" t="s">
        <v>34</v>
      </c>
      <c r="C18" s="31">
        <v>1</v>
      </c>
      <c r="D18" s="30">
        <v>1</v>
      </c>
      <c r="F18" s="31">
        <f>C18*$F12</f>
        <v>500</v>
      </c>
      <c r="G18" s="7">
        <f t="shared" si="0"/>
        <v>60</v>
      </c>
      <c r="H18" s="219">
        <v>60</v>
      </c>
      <c r="I18" s="7">
        <f>F18/H18</f>
        <v>8.3333333333333339</v>
      </c>
      <c r="K18" s="29"/>
      <c r="L18" s="72">
        <f>I17+I18+I9</f>
        <v>8.3333333333333339</v>
      </c>
      <c r="M18" s="62">
        <f>L18/$L19</f>
        <v>0.29411764705882354</v>
      </c>
      <c r="N18" s="63">
        <v>77</v>
      </c>
      <c r="O18" s="66">
        <f>M18*N18</f>
        <v>22.647058823529413</v>
      </c>
      <c r="Q18" s="76">
        <f>IFERROR(R18/L18,"")</f>
        <v>77</v>
      </c>
      <c r="R18" s="77">
        <f>L18*N18</f>
        <v>641.66666666666674</v>
      </c>
      <c r="S18" s="65"/>
      <c r="T18" s="65"/>
      <c r="U18" s="65"/>
      <c r="V18" s="69">
        <f>L18</f>
        <v>8.3333333333333339</v>
      </c>
      <c r="W18" s="69">
        <f>SUM(U15:V18)</f>
        <v>28.333333333333336</v>
      </c>
      <c r="AB18" s="68"/>
    </row>
    <row r="19" spans="2:31" x14ac:dyDescent="0.25">
      <c r="B19" s="36" t="s">
        <v>40</v>
      </c>
      <c r="C19" s="31">
        <v>8</v>
      </c>
      <c r="D19" s="225">
        <v>7</v>
      </c>
      <c r="E19" s="5"/>
      <c r="F19" s="31">
        <f>SUM(F15:F18)</f>
        <v>4000</v>
      </c>
      <c r="G19" s="7">
        <f>(3600*I19)/F19</f>
        <v>25.500000000000004</v>
      </c>
      <c r="H19" s="132">
        <f>3600/G19</f>
        <v>141.17647058823528</v>
      </c>
      <c r="I19" s="94">
        <f>SUM(I15:I18)</f>
        <v>28.333333333333336</v>
      </c>
      <c r="J19" s="5"/>
      <c r="K19" s="31"/>
      <c r="L19" s="72">
        <f>SUM(L15:L18)</f>
        <v>28.333333333333336</v>
      </c>
      <c r="M19" s="67">
        <f>L19/$L19</f>
        <v>1</v>
      </c>
      <c r="N19" s="5"/>
      <c r="O19" s="61">
        <f>SUM(O15:O18)</f>
        <v>100.29411764705881</v>
      </c>
      <c r="Q19" s="78">
        <f>R19/L19</f>
        <v>100.29411764705881</v>
      </c>
      <c r="R19" s="4">
        <f>L19*O19</f>
        <v>2841.6666666666665</v>
      </c>
      <c r="S19" s="65"/>
      <c r="T19" s="65"/>
      <c r="U19" s="65"/>
      <c r="V19" s="65"/>
      <c r="W19" s="65"/>
      <c r="AB19" s="68"/>
    </row>
    <row r="21" spans="2:31" x14ac:dyDescent="0.25">
      <c r="B21" s="51" t="s">
        <v>233</v>
      </c>
      <c r="C21" s="28" t="s">
        <v>236</v>
      </c>
      <c r="D21" s="28"/>
      <c r="E21" s="28"/>
      <c r="F21" s="165" t="s">
        <v>41</v>
      </c>
      <c r="G21" s="40"/>
      <c r="H21" s="40"/>
      <c r="I21" s="40"/>
      <c r="J21" s="40"/>
      <c r="K21" s="52"/>
      <c r="L21" s="28"/>
      <c r="M21" s="28"/>
      <c r="N21" s="28"/>
      <c r="O21" s="53"/>
      <c r="S21" s="65"/>
      <c r="T21" s="65"/>
      <c r="U21" s="65"/>
      <c r="V21" s="65"/>
      <c r="W21" s="65"/>
      <c r="Y21" t="s">
        <v>47</v>
      </c>
      <c r="Z21" t="s">
        <v>48</v>
      </c>
      <c r="AB21" t="s">
        <v>50</v>
      </c>
    </row>
    <row r="22" spans="2:31" x14ac:dyDescent="0.25">
      <c r="B22" s="39" t="s">
        <v>234</v>
      </c>
      <c r="F22" s="196">
        <v>1000</v>
      </c>
      <c r="G22" s="41"/>
      <c r="H22" s="41"/>
      <c r="I22" s="41"/>
      <c r="J22" s="41"/>
      <c r="K22" s="29"/>
      <c r="O22" s="30"/>
      <c r="S22" s="65"/>
      <c r="T22" s="65"/>
      <c r="U22" s="65"/>
      <c r="V22" s="65"/>
      <c r="W22" s="65"/>
      <c r="AB22" s="68"/>
    </row>
    <row r="23" spans="2:31" x14ac:dyDescent="0.25">
      <c r="B23" s="254" t="s">
        <v>235</v>
      </c>
      <c r="F23" s="29"/>
      <c r="H23" s="37"/>
      <c r="K23" s="29"/>
      <c r="L23" s="54" t="s">
        <v>42</v>
      </c>
      <c r="N23" s="55" t="s">
        <v>9</v>
      </c>
      <c r="O23" s="56" t="s">
        <v>43</v>
      </c>
      <c r="Q23" s="75" t="s">
        <v>51</v>
      </c>
      <c r="R23" s="65" t="s">
        <v>52</v>
      </c>
      <c r="S23" s="65" t="s">
        <v>53</v>
      </c>
      <c r="T23" s="65" t="s">
        <v>54</v>
      </c>
      <c r="U23" s="65" t="s">
        <v>55</v>
      </c>
      <c r="V23" s="65" t="s">
        <v>34</v>
      </c>
      <c r="W23" s="65" t="s">
        <v>56</v>
      </c>
      <c r="AB23" s="68"/>
      <c r="AD23" s="3" t="s">
        <v>46</v>
      </c>
    </row>
    <row r="24" spans="2:31" x14ac:dyDescent="0.25">
      <c r="B24" s="38"/>
      <c r="C24" s="34" t="s">
        <v>37</v>
      </c>
      <c r="D24" s="26" t="s">
        <v>38</v>
      </c>
      <c r="F24" s="33" t="s">
        <v>37</v>
      </c>
      <c r="G24" s="8" t="s">
        <v>4</v>
      </c>
      <c r="H24" s="57" t="s">
        <v>39</v>
      </c>
      <c r="I24" s="58" t="s">
        <v>0</v>
      </c>
      <c r="K24" s="29"/>
      <c r="L24" s="59" t="s">
        <v>44</v>
      </c>
      <c r="N24" s="60" t="s">
        <v>44</v>
      </c>
      <c r="O24" s="61" t="s">
        <v>45</v>
      </c>
      <c r="Q24" s="75" t="s">
        <v>57</v>
      </c>
      <c r="R24" s="5"/>
      <c r="S24" s="73" t="s">
        <v>58</v>
      </c>
      <c r="T24" s="73" t="s">
        <v>49</v>
      </c>
      <c r="U24" s="73" t="s">
        <v>49</v>
      </c>
      <c r="V24" s="73" t="s">
        <v>49</v>
      </c>
      <c r="W24" s="73" t="s">
        <v>59</v>
      </c>
      <c r="AB24" s="68"/>
      <c r="AD24" s="8" t="s">
        <v>26</v>
      </c>
    </row>
    <row r="25" spans="2:31" x14ac:dyDescent="0.25">
      <c r="B25" s="35" t="s">
        <v>35</v>
      </c>
      <c r="C25" s="29">
        <v>7</v>
      </c>
      <c r="D25" s="30">
        <v>6</v>
      </c>
      <c r="F25" s="29">
        <f>C25*$F22</f>
        <v>7000</v>
      </c>
      <c r="G25" s="1">
        <f>3600/H25</f>
        <v>10.140845070422536</v>
      </c>
      <c r="H25" s="197">
        <v>355</v>
      </c>
      <c r="I25" s="1">
        <f>F25/H25</f>
        <v>19.718309859154928</v>
      </c>
      <c r="K25" s="29"/>
      <c r="L25" s="84">
        <f>I25+I26</f>
        <v>19.718309859154928</v>
      </c>
      <c r="M25" s="62">
        <f>L25/$L29</f>
        <v>0.56361401352181928</v>
      </c>
      <c r="N25" s="63">
        <v>110</v>
      </c>
      <c r="O25" s="64">
        <f>M25*N25</f>
        <v>61.99754148740012</v>
      </c>
      <c r="Q25" s="76">
        <f>IFERROR(R25/L25,"")</f>
        <v>110.00000000000001</v>
      </c>
      <c r="R25" s="4">
        <f>L25*N25</f>
        <v>2169.0140845070423</v>
      </c>
      <c r="S25" s="69">
        <f>(D25+D26)*(3.75/60)</f>
        <v>0.375</v>
      </c>
      <c r="T25" s="69">
        <f>(I25-S25)/3</f>
        <v>6.447769953051643</v>
      </c>
      <c r="U25" s="84">
        <f>L25</f>
        <v>19.718309859154928</v>
      </c>
      <c r="V25" s="65"/>
      <c r="W25" s="65"/>
      <c r="Y25" s="68">
        <f>I25/3</f>
        <v>6.572769953051643</v>
      </c>
      <c r="Z25" s="83">
        <f>Y25/6.5</f>
        <v>1.0111953773925604</v>
      </c>
      <c r="AB25" s="68">
        <f>I25/Y25</f>
        <v>3</v>
      </c>
      <c r="AD25" s="1">
        <f>L25*3600/(F25+F26)</f>
        <v>10.140845070422534</v>
      </c>
      <c r="AE25">
        <f>(F25+F26)/L25</f>
        <v>355</v>
      </c>
    </row>
    <row r="26" spans="2:31" x14ac:dyDescent="0.25">
      <c r="B26" s="35" t="s">
        <v>107</v>
      </c>
      <c r="C26" s="29">
        <v>0</v>
      </c>
      <c r="D26" s="30">
        <v>0</v>
      </c>
      <c r="F26" s="29">
        <f>C26*$F22</f>
        <v>0</v>
      </c>
      <c r="G26" s="1">
        <f>3600/H26</f>
        <v>20.281690140845072</v>
      </c>
      <c r="H26" s="197">
        <f>50%*H25</f>
        <v>177.5</v>
      </c>
      <c r="I26" s="1">
        <f>F26/H26</f>
        <v>0</v>
      </c>
      <c r="K26" s="29"/>
      <c r="L26" s="69"/>
      <c r="M26" s="62"/>
      <c r="N26" s="65"/>
      <c r="O26" s="30"/>
      <c r="Q26" s="75"/>
      <c r="R26" s="4"/>
      <c r="S26" s="65"/>
      <c r="T26" s="65"/>
      <c r="U26" s="65"/>
      <c r="V26" s="65"/>
      <c r="W26" s="65"/>
      <c r="AB26" s="68"/>
    </row>
    <row r="27" spans="2:31" x14ac:dyDescent="0.25">
      <c r="B27" s="35" t="s">
        <v>36</v>
      </c>
      <c r="C27" s="29">
        <v>0</v>
      </c>
      <c r="D27" s="30">
        <v>0</v>
      </c>
      <c r="F27" s="29">
        <f>C27*$F22</f>
        <v>0</v>
      </c>
      <c r="G27" s="1">
        <f t="shared" ref="G27:G28" si="1">3600/H27</f>
        <v>3600</v>
      </c>
      <c r="H27" s="218">
        <v>1</v>
      </c>
      <c r="I27" s="1">
        <f>F27/H27</f>
        <v>0</v>
      </c>
      <c r="K27" s="29"/>
      <c r="L27" s="69"/>
      <c r="M27" s="62"/>
      <c r="N27" s="65"/>
      <c r="O27" s="30"/>
      <c r="Q27" s="75"/>
      <c r="R27" s="4"/>
      <c r="S27" s="65"/>
      <c r="T27" s="65"/>
      <c r="U27" s="65"/>
      <c r="V27" s="65"/>
      <c r="W27" s="65"/>
      <c r="AB27" s="68"/>
    </row>
    <row r="28" spans="2:31" x14ac:dyDescent="0.25">
      <c r="B28" s="36" t="s">
        <v>34</v>
      </c>
      <c r="C28" s="31">
        <v>1</v>
      </c>
      <c r="D28" s="30">
        <v>1</v>
      </c>
      <c r="F28" s="31">
        <f>C28*$F22</f>
        <v>1000</v>
      </c>
      <c r="G28" s="7">
        <f t="shared" si="1"/>
        <v>54.961832061068705</v>
      </c>
      <c r="H28" s="219">
        <v>65.5</v>
      </c>
      <c r="I28" s="7">
        <f>F28/H28</f>
        <v>15.267175572519085</v>
      </c>
      <c r="K28" s="29"/>
      <c r="L28" s="72">
        <f>I27+I28</f>
        <v>15.267175572519085</v>
      </c>
      <c r="M28" s="62">
        <f>L28/$L29</f>
        <v>0.43638598647818072</v>
      </c>
      <c r="N28" s="63">
        <v>77</v>
      </c>
      <c r="O28" s="66">
        <f>M28*N28</f>
        <v>33.601720958819918</v>
      </c>
      <c r="Q28" s="76">
        <f>IFERROR(R28/L28,"")</f>
        <v>77</v>
      </c>
      <c r="R28" s="77">
        <f>L28*N28</f>
        <v>1175.5725190839696</v>
      </c>
      <c r="S28" s="65"/>
      <c r="T28" s="65"/>
      <c r="U28" s="65"/>
      <c r="V28" s="69">
        <f>L28</f>
        <v>15.267175572519085</v>
      </c>
      <c r="W28" s="69">
        <f>SUM(U25:V28)</f>
        <v>34.985485431674014</v>
      </c>
      <c r="AB28" s="68"/>
    </row>
    <row r="29" spans="2:31" x14ac:dyDescent="0.25">
      <c r="B29" s="36" t="s">
        <v>40</v>
      </c>
      <c r="C29" s="31">
        <v>8</v>
      </c>
      <c r="D29" s="225">
        <v>7</v>
      </c>
      <c r="E29" s="5"/>
      <c r="F29" s="31">
        <f>SUM(F25:F28)</f>
        <v>8000</v>
      </c>
      <c r="G29" s="7">
        <f>(3600*I29)/F29</f>
        <v>15.743468444253308</v>
      </c>
      <c r="H29" s="132">
        <f>3600/G29</f>
        <v>228.66625691456667</v>
      </c>
      <c r="I29" s="94">
        <f>SUM(I25:I28)</f>
        <v>34.985485431674014</v>
      </c>
      <c r="J29" s="5"/>
      <c r="K29" s="31"/>
      <c r="L29" s="72">
        <f>SUM(L25:L28)</f>
        <v>34.985485431674014</v>
      </c>
      <c r="M29" s="67">
        <f>L29/$L29</f>
        <v>1</v>
      </c>
      <c r="N29" s="5"/>
      <c r="O29" s="61">
        <f>SUM(O25:O28)</f>
        <v>95.599262446220038</v>
      </c>
      <c r="Q29" s="78">
        <f>R29/L29</f>
        <v>95.599262446220038</v>
      </c>
      <c r="R29" s="4">
        <f>L29*O29</f>
        <v>3344.5866035910117</v>
      </c>
      <c r="S29" s="65"/>
      <c r="T29" s="65"/>
      <c r="U29" s="65"/>
      <c r="V29" s="65"/>
      <c r="W29" s="65"/>
      <c r="AB29" s="68"/>
    </row>
    <row r="30" spans="2:31" x14ac:dyDescent="0.25">
      <c r="B30" s="41"/>
      <c r="G30" s="1"/>
      <c r="H30" s="2"/>
      <c r="I30" s="146"/>
      <c r="L30" s="69"/>
      <c r="M30" s="147"/>
      <c r="O30" s="148"/>
      <c r="Q30" s="78"/>
      <c r="R30" s="4"/>
      <c r="S30" s="65"/>
      <c r="T30" s="65"/>
      <c r="U30" s="65"/>
      <c r="V30" s="65"/>
      <c r="W30" s="65"/>
      <c r="AB30" s="68"/>
    </row>
    <row r="31" spans="2:31" x14ac:dyDescent="0.25">
      <c r="B31" s="51" t="s">
        <v>233</v>
      </c>
      <c r="C31" s="28" t="s">
        <v>236</v>
      </c>
      <c r="D31" s="28"/>
      <c r="E31" s="28"/>
      <c r="F31" s="165" t="s">
        <v>41</v>
      </c>
      <c r="G31" s="40"/>
      <c r="H31" s="40"/>
      <c r="I31" s="40"/>
      <c r="J31" s="40"/>
      <c r="K31" s="52"/>
      <c r="L31" s="28"/>
      <c r="M31" s="28"/>
      <c r="N31" s="28"/>
      <c r="O31" s="53"/>
      <c r="S31" s="65"/>
      <c r="T31" s="65"/>
      <c r="U31" s="65"/>
      <c r="V31" s="65"/>
      <c r="W31" s="65"/>
      <c r="Y31" t="s">
        <v>47</v>
      </c>
      <c r="Z31" t="s">
        <v>48</v>
      </c>
      <c r="AB31" t="s">
        <v>50</v>
      </c>
    </row>
    <row r="32" spans="2:31" x14ac:dyDescent="0.25">
      <c r="B32" s="39" t="s">
        <v>234</v>
      </c>
      <c r="F32" s="196">
        <v>5000</v>
      </c>
      <c r="G32" s="41"/>
      <c r="H32" s="41"/>
      <c r="I32" s="41"/>
      <c r="J32" s="41"/>
      <c r="K32" s="29"/>
      <c r="O32" s="30"/>
      <c r="S32" s="65"/>
      <c r="T32" s="65"/>
      <c r="U32" s="65"/>
      <c r="V32" s="65"/>
      <c r="W32" s="65"/>
      <c r="AB32" s="68"/>
    </row>
    <row r="33" spans="2:31" x14ac:dyDescent="0.25">
      <c r="B33" s="254" t="s">
        <v>235</v>
      </c>
      <c r="F33" s="29"/>
      <c r="H33" s="37"/>
      <c r="K33" s="29"/>
      <c r="L33" s="54" t="s">
        <v>42</v>
      </c>
      <c r="N33" s="55" t="s">
        <v>9</v>
      </c>
      <c r="O33" s="56" t="s">
        <v>43</v>
      </c>
      <c r="Q33" s="75" t="s">
        <v>51</v>
      </c>
      <c r="R33" s="65" t="s">
        <v>52</v>
      </c>
      <c r="S33" s="65" t="s">
        <v>53</v>
      </c>
      <c r="T33" s="65" t="s">
        <v>54</v>
      </c>
      <c r="U33" s="65" t="s">
        <v>55</v>
      </c>
      <c r="V33" s="65" t="s">
        <v>34</v>
      </c>
      <c r="W33" s="65" t="s">
        <v>56</v>
      </c>
      <c r="AB33" s="68"/>
      <c r="AD33" s="3" t="s">
        <v>46</v>
      </c>
    </row>
    <row r="34" spans="2:31" x14ac:dyDescent="0.25">
      <c r="B34" s="38"/>
      <c r="C34" s="34" t="s">
        <v>37</v>
      </c>
      <c r="D34" s="26" t="s">
        <v>38</v>
      </c>
      <c r="F34" s="33" t="s">
        <v>37</v>
      </c>
      <c r="G34" s="8" t="s">
        <v>4</v>
      </c>
      <c r="H34" s="57" t="s">
        <v>39</v>
      </c>
      <c r="I34" s="58" t="s">
        <v>0</v>
      </c>
      <c r="K34" s="29"/>
      <c r="L34" s="59" t="s">
        <v>44</v>
      </c>
      <c r="N34" s="60" t="s">
        <v>44</v>
      </c>
      <c r="O34" s="61" t="s">
        <v>45</v>
      </c>
      <c r="Q34" s="75" t="s">
        <v>57</v>
      </c>
      <c r="R34" s="5"/>
      <c r="S34" s="73" t="s">
        <v>58</v>
      </c>
      <c r="T34" s="73" t="s">
        <v>49</v>
      </c>
      <c r="U34" s="73" t="s">
        <v>49</v>
      </c>
      <c r="V34" s="73" t="s">
        <v>49</v>
      </c>
      <c r="W34" s="73" t="s">
        <v>59</v>
      </c>
      <c r="AB34" s="68"/>
      <c r="AD34" s="8" t="s">
        <v>26</v>
      </c>
    </row>
    <row r="35" spans="2:31" x14ac:dyDescent="0.25">
      <c r="B35" s="35" t="s">
        <v>35</v>
      </c>
      <c r="C35" s="29">
        <v>7</v>
      </c>
      <c r="D35" s="30">
        <v>6</v>
      </c>
      <c r="F35" s="29">
        <f>C35*$F32</f>
        <v>35000</v>
      </c>
      <c r="G35" s="1">
        <f>3600/H35</f>
        <v>6.4806480648064806</v>
      </c>
      <c r="H35" s="197">
        <v>555.5</v>
      </c>
      <c r="I35" s="1">
        <f>F35/H35</f>
        <v>63.006300630063009</v>
      </c>
      <c r="K35" s="29"/>
      <c r="L35" s="84">
        <f>I35+I36</f>
        <v>63.006300630063009</v>
      </c>
      <c r="M35" s="62">
        <f>L35/$L39</f>
        <v>0.47569608305804634</v>
      </c>
      <c r="N35" s="63">
        <v>110</v>
      </c>
      <c r="O35" s="64">
        <f>M35*N35</f>
        <v>52.326569136385096</v>
      </c>
      <c r="Q35" s="76">
        <f>IFERROR(R35/L35,"")</f>
        <v>110</v>
      </c>
      <c r="R35" s="4">
        <f>L35*N35</f>
        <v>6930.6930693069307</v>
      </c>
      <c r="S35" s="69">
        <f>(D35+D36)*(3.75/60)</f>
        <v>0.375</v>
      </c>
      <c r="T35" s="69">
        <f>(I35-S35)/3</f>
        <v>20.877100210021002</v>
      </c>
      <c r="U35" s="84">
        <f>L35</f>
        <v>63.006300630063009</v>
      </c>
      <c r="V35" s="65"/>
      <c r="W35" s="65"/>
      <c r="Y35" s="68">
        <f>I35/3</f>
        <v>21.002100210021002</v>
      </c>
      <c r="Z35" s="83">
        <f>Y35/6.5</f>
        <v>3.2310923400032312</v>
      </c>
      <c r="AB35" s="68">
        <f>I35/Y35</f>
        <v>3</v>
      </c>
      <c r="AD35" s="1">
        <f>L35*3600/(F35+F36)</f>
        <v>6.4806480648064815</v>
      </c>
      <c r="AE35">
        <f>(F35+F36)/L35</f>
        <v>555.5</v>
      </c>
    </row>
    <row r="36" spans="2:31" x14ac:dyDescent="0.25">
      <c r="B36" s="35" t="s">
        <v>107</v>
      </c>
      <c r="C36" s="29">
        <v>0</v>
      </c>
      <c r="D36" s="30">
        <v>0</v>
      </c>
      <c r="F36" s="29">
        <f>C36*$F32</f>
        <v>0</v>
      </c>
      <c r="G36" s="1">
        <f>3600/H36</f>
        <v>12.961296129612961</v>
      </c>
      <c r="H36" s="197">
        <f>50%*H35</f>
        <v>277.75</v>
      </c>
      <c r="I36" s="1">
        <f>F36/H36</f>
        <v>0</v>
      </c>
      <c r="K36" s="29"/>
      <c r="L36" s="69"/>
      <c r="M36" s="62"/>
      <c r="N36" s="65"/>
      <c r="O36" s="30"/>
      <c r="Q36" s="75"/>
      <c r="R36" s="4"/>
      <c r="S36" s="65"/>
      <c r="T36" s="65"/>
      <c r="U36" s="65"/>
      <c r="V36" s="65"/>
      <c r="W36" s="65"/>
      <c r="AB36" s="68"/>
    </row>
    <row r="37" spans="2:31" x14ac:dyDescent="0.25">
      <c r="B37" s="35" t="s">
        <v>36</v>
      </c>
      <c r="C37" s="29">
        <v>0</v>
      </c>
      <c r="D37" s="30">
        <v>0</v>
      </c>
      <c r="F37" s="29">
        <f>C37*$F32</f>
        <v>0</v>
      </c>
      <c r="G37" s="1">
        <f t="shared" ref="G37:G38" si="2">3600/H37</f>
        <v>3600</v>
      </c>
      <c r="H37" s="218">
        <v>1</v>
      </c>
      <c r="I37" s="1">
        <f>F37/H37</f>
        <v>0</v>
      </c>
      <c r="K37" s="29"/>
      <c r="L37" s="69"/>
      <c r="M37" s="62"/>
      <c r="N37" s="65"/>
      <c r="O37" s="30"/>
      <c r="Q37" s="75"/>
      <c r="R37" s="4"/>
      <c r="S37" s="65"/>
      <c r="T37" s="65"/>
      <c r="U37" s="65"/>
      <c r="V37" s="65"/>
      <c r="W37" s="65"/>
      <c r="AB37" s="68"/>
    </row>
    <row r="38" spans="2:31" x14ac:dyDescent="0.25">
      <c r="B38" s="36" t="s">
        <v>34</v>
      </c>
      <c r="C38" s="31">
        <v>1</v>
      </c>
      <c r="D38" s="30">
        <v>1</v>
      </c>
      <c r="F38" s="31">
        <f>C38*$F32</f>
        <v>5000</v>
      </c>
      <c r="G38" s="7">
        <f t="shared" si="2"/>
        <v>50</v>
      </c>
      <c r="H38" s="219">
        <v>72</v>
      </c>
      <c r="I38" s="7">
        <f>F38/H38</f>
        <v>69.444444444444443</v>
      </c>
      <c r="K38" s="29"/>
      <c r="L38" s="72">
        <f>I37+I38</f>
        <v>69.444444444444443</v>
      </c>
      <c r="M38" s="62">
        <f>L38/$L39</f>
        <v>0.52430391694195377</v>
      </c>
      <c r="N38" s="63">
        <v>77</v>
      </c>
      <c r="O38" s="66">
        <f>M38*N38</f>
        <v>40.37140160453044</v>
      </c>
      <c r="Q38" s="76">
        <f>IFERROR(R38/L38,"")</f>
        <v>77</v>
      </c>
      <c r="R38" s="77">
        <f>L38*N38</f>
        <v>5347.2222222222217</v>
      </c>
      <c r="S38" s="65"/>
      <c r="T38" s="65"/>
      <c r="U38" s="65"/>
      <c r="V38" s="69">
        <f>L38</f>
        <v>69.444444444444443</v>
      </c>
      <c r="W38" s="69">
        <f>SUM(U35:V38)</f>
        <v>132.45074507450744</v>
      </c>
      <c r="AB38" s="68"/>
    </row>
    <row r="39" spans="2:31" x14ac:dyDescent="0.25">
      <c r="B39" s="36" t="s">
        <v>40</v>
      </c>
      <c r="C39" s="31">
        <v>8</v>
      </c>
      <c r="D39" s="225">
        <v>7</v>
      </c>
      <c r="E39" s="5"/>
      <c r="F39" s="31">
        <f>SUM(F35:F38)</f>
        <v>40000</v>
      </c>
      <c r="G39" s="7">
        <f>(3600*I39)/F39</f>
        <v>11.92056705670567</v>
      </c>
      <c r="H39" s="132">
        <f>3600/G39</f>
        <v>301.99905615856539</v>
      </c>
      <c r="I39" s="94">
        <f>SUM(I35:I38)</f>
        <v>132.45074507450744</v>
      </c>
      <c r="J39" s="5"/>
      <c r="K39" s="31"/>
      <c r="L39" s="72">
        <f>SUM(L35:L38)</f>
        <v>132.45074507450744</v>
      </c>
      <c r="M39" s="67">
        <f>L39/$L39</f>
        <v>1</v>
      </c>
      <c r="N39" s="5"/>
      <c r="O39" s="61">
        <f>SUM(O35:O38)</f>
        <v>92.697970740915537</v>
      </c>
      <c r="Q39" s="78">
        <f>R39/L39</f>
        <v>92.697970740915537</v>
      </c>
      <c r="R39" s="4">
        <f>L39*O39</f>
        <v>12277.915291529152</v>
      </c>
      <c r="S39" s="65"/>
      <c r="T39" s="65"/>
      <c r="U39" s="65"/>
      <c r="V39" s="65"/>
      <c r="W39" s="65"/>
      <c r="AB39" s="68"/>
    </row>
    <row r="41" spans="2:31" x14ac:dyDescent="0.25">
      <c r="B41" s="51" t="s">
        <v>233</v>
      </c>
      <c r="C41" s="28" t="s">
        <v>236</v>
      </c>
      <c r="D41" s="28"/>
      <c r="E41" s="28"/>
      <c r="F41" s="165" t="s">
        <v>41</v>
      </c>
      <c r="G41" s="40"/>
      <c r="H41" s="40"/>
      <c r="I41" s="40"/>
      <c r="J41" s="40"/>
      <c r="K41" s="52"/>
      <c r="L41" s="28"/>
      <c r="M41" s="28"/>
      <c r="N41" s="28"/>
      <c r="O41" s="53"/>
      <c r="S41" s="65"/>
      <c r="T41" s="65"/>
      <c r="U41" s="65"/>
      <c r="V41" s="65"/>
      <c r="W41" s="65"/>
      <c r="Y41" t="s">
        <v>47</v>
      </c>
      <c r="Z41" t="s">
        <v>48</v>
      </c>
      <c r="AB41" t="s">
        <v>50</v>
      </c>
    </row>
    <row r="42" spans="2:31" x14ac:dyDescent="0.25">
      <c r="B42" s="39" t="s">
        <v>234</v>
      </c>
      <c r="F42" s="196">
        <v>10000</v>
      </c>
      <c r="G42" s="41"/>
      <c r="H42" s="41"/>
      <c r="I42" s="41"/>
      <c r="J42" s="41"/>
      <c r="K42" s="29"/>
      <c r="O42" s="30"/>
      <c r="S42" s="65"/>
      <c r="T42" s="65"/>
      <c r="U42" s="65"/>
      <c r="V42" s="65"/>
      <c r="W42" s="65"/>
      <c r="AB42" s="68"/>
    </row>
    <row r="43" spans="2:31" x14ac:dyDescent="0.25">
      <c r="B43" s="254" t="s">
        <v>235</v>
      </c>
      <c r="F43" s="29"/>
      <c r="H43" s="37"/>
      <c r="K43" s="29"/>
      <c r="L43" s="54" t="s">
        <v>42</v>
      </c>
      <c r="N43" s="55" t="s">
        <v>9</v>
      </c>
      <c r="O43" s="56" t="s">
        <v>43</v>
      </c>
      <c r="Q43" s="75" t="s">
        <v>51</v>
      </c>
      <c r="R43" s="65" t="s">
        <v>52</v>
      </c>
      <c r="S43" s="65" t="s">
        <v>53</v>
      </c>
      <c r="T43" s="65" t="s">
        <v>54</v>
      </c>
      <c r="U43" s="65" t="s">
        <v>55</v>
      </c>
      <c r="V43" s="65" t="s">
        <v>34</v>
      </c>
      <c r="W43" s="65" t="s">
        <v>56</v>
      </c>
      <c r="AB43" s="68"/>
      <c r="AD43" s="3" t="s">
        <v>46</v>
      </c>
    </row>
    <row r="44" spans="2:31" x14ac:dyDescent="0.25">
      <c r="B44" s="38"/>
      <c r="C44" s="34" t="s">
        <v>37</v>
      </c>
      <c r="D44" s="26" t="s">
        <v>38</v>
      </c>
      <c r="F44" s="33" t="s">
        <v>37</v>
      </c>
      <c r="G44" s="8" t="s">
        <v>4</v>
      </c>
      <c r="H44" s="57" t="s">
        <v>39</v>
      </c>
      <c r="I44" s="58" t="s">
        <v>0</v>
      </c>
      <c r="K44" s="29"/>
      <c r="L44" s="59" t="s">
        <v>44</v>
      </c>
      <c r="N44" s="60" t="s">
        <v>44</v>
      </c>
      <c r="O44" s="61" t="s">
        <v>45</v>
      </c>
      <c r="Q44" s="75" t="s">
        <v>57</v>
      </c>
      <c r="R44" s="5"/>
      <c r="S44" s="73" t="s">
        <v>58</v>
      </c>
      <c r="T44" s="73" t="s">
        <v>49</v>
      </c>
      <c r="U44" s="73" t="s">
        <v>49</v>
      </c>
      <c r="V44" s="73" t="s">
        <v>49</v>
      </c>
      <c r="W44" s="73" t="s">
        <v>59</v>
      </c>
      <c r="AB44" s="68"/>
      <c r="AD44" s="8" t="s">
        <v>26</v>
      </c>
    </row>
    <row r="45" spans="2:31" x14ac:dyDescent="0.25">
      <c r="B45" s="35" t="s">
        <v>35</v>
      </c>
      <c r="C45" s="29">
        <v>7</v>
      </c>
      <c r="D45" s="30">
        <v>6</v>
      </c>
      <c r="F45" s="29">
        <f>C45*$F42</f>
        <v>70000</v>
      </c>
      <c r="G45" s="1">
        <f>3600/H45</f>
        <v>4.2402826855123674</v>
      </c>
      <c r="H45" s="197">
        <v>849</v>
      </c>
      <c r="I45" s="1">
        <f>F45/H45</f>
        <v>82.449941107184927</v>
      </c>
      <c r="K45" s="29"/>
      <c r="L45" s="84">
        <f>I45+I46</f>
        <v>82.449941107184927</v>
      </c>
      <c r="M45" s="62">
        <f>L45/$L49</f>
        <v>0.39744499645138393</v>
      </c>
      <c r="N45" s="63">
        <v>110</v>
      </c>
      <c r="O45" s="64">
        <f>M45*N45</f>
        <v>43.718949609652235</v>
      </c>
      <c r="Q45" s="76">
        <f>IFERROR(R45/L45,"")</f>
        <v>110</v>
      </c>
      <c r="R45" s="4">
        <f>L45*N45</f>
        <v>9069.4935217903421</v>
      </c>
      <c r="S45" s="69">
        <f>(D45+D46)*(3.75/60)</f>
        <v>0.375</v>
      </c>
      <c r="T45" s="69">
        <f>(I45-S45)/3</f>
        <v>27.358313702394977</v>
      </c>
      <c r="U45" s="84">
        <f>L45</f>
        <v>82.449941107184927</v>
      </c>
      <c r="V45" s="65"/>
      <c r="W45" s="65"/>
      <c r="Y45" s="68">
        <f>I45/3</f>
        <v>27.483313702394977</v>
      </c>
      <c r="Z45" s="83">
        <f>Y45/6.5</f>
        <v>4.2282021080607652</v>
      </c>
      <c r="AB45" s="68">
        <f>I45/Y45</f>
        <v>3</v>
      </c>
      <c r="AD45" s="1">
        <f>L45*3600/(F45+F46)</f>
        <v>4.2402826855123674</v>
      </c>
      <c r="AE45">
        <f>(F45+F46)/L45</f>
        <v>849</v>
      </c>
    </row>
    <row r="46" spans="2:31" x14ac:dyDescent="0.25">
      <c r="B46" s="35" t="s">
        <v>107</v>
      </c>
      <c r="C46" s="29">
        <v>0</v>
      </c>
      <c r="D46" s="30">
        <v>0</v>
      </c>
      <c r="F46" s="29">
        <f>C46*$F42</f>
        <v>0</v>
      </c>
      <c r="G46" s="1">
        <f>3600/H46</f>
        <v>8.4805653710247348</v>
      </c>
      <c r="H46" s="197">
        <f>50%*H45</f>
        <v>424.5</v>
      </c>
      <c r="I46" s="1">
        <f>F46/H46</f>
        <v>0</v>
      </c>
      <c r="K46" s="29"/>
      <c r="L46" s="69"/>
      <c r="M46" s="62"/>
      <c r="N46" s="65"/>
      <c r="O46" s="30"/>
      <c r="Q46" s="75"/>
      <c r="R46" s="4"/>
      <c r="S46" s="65"/>
      <c r="T46" s="65"/>
      <c r="U46" s="65"/>
      <c r="V46" s="65"/>
      <c r="W46" s="65"/>
      <c r="AB46" s="68"/>
    </row>
    <row r="47" spans="2:31" x14ac:dyDescent="0.25">
      <c r="B47" s="35" t="s">
        <v>36</v>
      </c>
      <c r="C47" s="29">
        <v>0</v>
      </c>
      <c r="D47" s="30">
        <v>0</v>
      </c>
      <c r="F47" s="29">
        <f>C47*$F42</f>
        <v>0</v>
      </c>
      <c r="G47" s="1">
        <f t="shared" ref="G47:G48" si="3">3600/H47</f>
        <v>3600</v>
      </c>
      <c r="H47" s="218">
        <v>1</v>
      </c>
      <c r="I47" s="1">
        <f>F47/H47</f>
        <v>0</v>
      </c>
      <c r="K47" s="29"/>
      <c r="L47" s="69"/>
      <c r="M47" s="62"/>
      <c r="N47" s="65"/>
      <c r="O47" s="30"/>
      <c r="Q47" s="75"/>
      <c r="R47" s="4"/>
      <c r="S47" s="65"/>
      <c r="T47" s="65"/>
      <c r="U47" s="65"/>
      <c r="V47" s="65"/>
      <c r="W47" s="65"/>
      <c r="AB47" s="68"/>
    </row>
    <row r="48" spans="2:31" x14ac:dyDescent="0.25">
      <c r="B48" s="36" t="s">
        <v>34</v>
      </c>
      <c r="C48" s="31">
        <v>1</v>
      </c>
      <c r="D48" s="32">
        <v>1</v>
      </c>
      <c r="F48" s="31">
        <f>C48*$F42</f>
        <v>10000</v>
      </c>
      <c r="G48" s="7">
        <f t="shared" si="3"/>
        <v>45</v>
      </c>
      <c r="H48" s="219">
        <v>80</v>
      </c>
      <c r="I48" s="7">
        <f>F48/H48</f>
        <v>125</v>
      </c>
      <c r="K48" s="29"/>
      <c r="L48" s="72">
        <f>I47+I48</f>
        <v>125</v>
      </c>
      <c r="M48" s="62">
        <f>L48/$L49</f>
        <v>0.60255500354861602</v>
      </c>
      <c r="N48" s="63">
        <v>77</v>
      </c>
      <c r="O48" s="66">
        <f>M48*N48</f>
        <v>46.396735273243436</v>
      </c>
      <c r="Q48" s="76">
        <f>IFERROR(R48/L48,"")</f>
        <v>77</v>
      </c>
      <c r="R48" s="77">
        <f>L48*N48</f>
        <v>9625</v>
      </c>
      <c r="S48" s="65"/>
      <c r="T48" s="65"/>
      <c r="U48" s="65"/>
      <c r="V48" s="69">
        <f>L48</f>
        <v>125</v>
      </c>
      <c r="W48" s="69">
        <f>SUM(U45:V48)</f>
        <v>207.44994110718494</v>
      </c>
      <c r="AB48" s="68"/>
    </row>
    <row r="49" spans="2:28" x14ac:dyDescent="0.25">
      <c r="B49" s="36" t="s">
        <v>40</v>
      </c>
      <c r="C49" s="31">
        <v>8</v>
      </c>
      <c r="D49" s="32">
        <v>7</v>
      </c>
      <c r="E49" s="5"/>
      <c r="F49" s="31">
        <f>SUM(F45:F48)</f>
        <v>80000</v>
      </c>
      <c r="G49" s="7">
        <f>(3600*I49)/F49</f>
        <v>9.335247349823323</v>
      </c>
      <c r="H49" s="132">
        <f>3600/G49</f>
        <v>385.63520227111422</v>
      </c>
      <c r="I49" s="94">
        <f>SUM(I45:I48)</f>
        <v>207.44994110718494</v>
      </c>
      <c r="J49" s="5"/>
      <c r="K49" s="31"/>
      <c r="L49" s="72">
        <f>SUM(L45:L48)</f>
        <v>207.44994110718494</v>
      </c>
      <c r="M49" s="67">
        <f>L49/$L49</f>
        <v>1</v>
      </c>
      <c r="N49" s="5"/>
      <c r="O49" s="61">
        <f>SUM(O45:O48)</f>
        <v>90.115684882895664</v>
      </c>
      <c r="Q49" s="78">
        <f>R49/L49</f>
        <v>90.115684882895664</v>
      </c>
      <c r="R49" s="4">
        <f>L49*O49</f>
        <v>18694.49352179034</v>
      </c>
      <c r="S49" s="65"/>
      <c r="T49" s="65"/>
      <c r="U49" s="65"/>
      <c r="V49" s="65"/>
      <c r="W49" s="65"/>
      <c r="AB49" s="68"/>
    </row>
  </sheetData>
  <mergeCells count="29">
    <mergeCell ref="K1:O1"/>
    <mergeCell ref="Q1:R1"/>
    <mergeCell ref="C2:D2"/>
    <mergeCell ref="C3:C4"/>
    <mergeCell ref="D3:D4"/>
    <mergeCell ref="Q4:R4"/>
    <mergeCell ref="F1:I1"/>
    <mergeCell ref="N2:O2"/>
    <mergeCell ref="N3:O3"/>
    <mergeCell ref="K2:L2"/>
    <mergeCell ref="K3:L3"/>
    <mergeCell ref="Q9:R9"/>
    <mergeCell ref="K8:O8"/>
    <mergeCell ref="K9:O9"/>
    <mergeCell ref="Q8:R8"/>
    <mergeCell ref="F8:H8"/>
    <mergeCell ref="F9:H9"/>
    <mergeCell ref="F7:H7"/>
    <mergeCell ref="F6:H6"/>
    <mergeCell ref="Q5:R5"/>
    <mergeCell ref="B3:B4"/>
    <mergeCell ref="B6:B7"/>
    <mergeCell ref="K7:O7"/>
    <mergeCell ref="C5:D5"/>
    <mergeCell ref="K4:O4"/>
    <mergeCell ref="K5:O5"/>
    <mergeCell ref="Q6:R6"/>
    <mergeCell ref="Q7:R7"/>
    <mergeCell ref="K6:O6"/>
  </mergeCells>
  <phoneticPr fontId="24" type="noConversion"/>
  <dataValidations count="1">
    <dataValidation type="list" allowBlank="1" showInputMessage="1" showErrorMessage="1" sqref="G2:G4 P2:P9 I2:I3 M2:M3" xr:uid="{0B953856-55E9-4397-85FC-CFCC49BADBD9}">
      <formula1>$AD$2:$AD$5</formula1>
    </dataValidation>
  </dataValidations>
  <pageMargins left="0.25" right="0.25" top="0.75" bottom="0.75" header="0.3" footer="0.3"/>
  <pageSetup scale="38" orientation="landscape" horizontalDpi="4294967293" verticalDpi="0" r:id="rId1"/>
  <drawing r:id="rId2"/>
  <legacyDrawing r:id="rId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C0F3C0-9318-409C-98A7-6A6BB17C2DA6}">
  <dimension ref="I1:AJ2"/>
  <sheetViews>
    <sheetView topLeftCell="U1" workbookViewId="0">
      <selection activeCell="AC17" sqref="AC17"/>
    </sheetView>
  </sheetViews>
  <sheetFormatPr defaultRowHeight="15" x14ac:dyDescent="0.25"/>
  <sheetData>
    <row r="1" spans="9:36" ht="23.25" x14ac:dyDescent="0.35">
      <c r="P1" s="149" t="s">
        <v>73</v>
      </c>
      <c r="Q1" s="149">
        <v>10</v>
      </c>
    </row>
    <row r="2" spans="9:36" x14ac:dyDescent="0.25">
      <c r="I2" t="s">
        <v>81</v>
      </c>
      <c r="AC2" t="s">
        <v>81</v>
      </c>
      <c r="AJ2" t="s">
        <v>81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0BA9FB3-5BB8-4DC4-86B4-EC08F43CA13B}">
  <dimension ref="A1"/>
  <sheetViews>
    <sheetView workbookViewId="0">
      <selection activeCell="M6" sqref="M6"/>
    </sheetView>
  </sheetViews>
  <sheetFormatPr defaultRowHeight="15" x14ac:dyDescent="0.25"/>
  <sheetData/>
  <pageMargins left="0.7" right="0.7" top="0.75" bottom="0.75" header="0.3" footer="0.3"/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_rels/item2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2.xml"/></Relationships>
</file>

<file path=customXml/_rels/item3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3.xml"/></Relationships>
</file>

<file path=customXml/item1.xml><?xml version="1.0" encoding="utf-8"?>
<ct:contentTypeSchema xmlns:ct="http://schemas.microsoft.com/office/2006/metadata/contentType" xmlns:ma="http://schemas.microsoft.com/office/2006/metadata/properties/metaAttributes" ct:_="" ma:_="" ma:contentTypeName="Document" ma:contentTypeID="0x01010057277168484D774B9D4448BF01E5211D" ma:contentTypeVersion="3" ma:contentTypeDescription="Create a new document." ma:contentTypeScope="" ma:versionID="d571714a83eb21c0e260e03828090b41">
  <xsd:schema xmlns:xsd="http://www.w3.org/2001/XMLSchema" xmlns:xs="http://www.w3.org/2001/XMLSchema" xmlns:p="http://schemas.microsoft.com/office/2006/metadata/properties" xmlns:ns2="4f144fc1-59e6-4af3-87ab-fcf77bfa264d" targetNamespace="http://schemas.microsoft.com/office/2006/metadata/properties" ma:root="true" ma:fieldsID="2afb4accef57e4c3d0c15155faf60eaa" ns2:_="">
    <xsd:import namespace="4f144fc1-59e6-4af3-87ab-fcf77bfa264d"/>
    <xsd:element name="properties">
      <xsd:complexType>
        <xsd:sequence>
          <xsd:element name="documentManagement">
            <xsd:complexType>
              <xsd:all>
                <xsd:element ref="ns2:MediaServiceMetadata" minOccurs="0"/>
                <xsd:element ref="ns2:MediaServiceFastMetadata" minOccurs="0"/>
                <xsd:element ref="ns2:MediaServiceSearchProperties" minOccurs="0"/>
              </xsd:all>
            </xsd:complexType>
          </xsd:element>
        </xsd:sequence>
      </xsd:complexType>
    </xsd:element>
  </xsd:schema>
  <xsd:schema xmlns:xsd="http://www.w3.org/2001/XMLSchema" xmlns:xs="http://www.w3.org/2001/XMLSchema" xmlns:dms="http://schemas.microsoft.com/office/2006/documentManagement/types" xmlns:pc="http://schemas.microsoft.com/office/infopath/2007/PartnerControls" targetNamespace="4f144fc1-59e6-4af3-87ab-fcf77bfa264d" elementFormDefault="qualified">
    <xsd:import namespace="http://schemas.microsoft.com/office/2006/documentManagement/types"/>
    <xsd:import namespace="http://schemas.microsoft.com/office/infopath/2007/PartnerControls"/>
    <xsd:element name="MediaServiceMetadata" ma:index="8" nillable="true" ma:displayName="MediaServiceMetadata" ma:hidden="true" ma:internalName="MediaServiceMetadata" ma:readOnly="true">
      <xsd:simpleType>
        <xsd:restriction base="dms:Note"/>
      </xsd:simpleType>
    </xsd:element>
    <xsd:element name="MediaServiceFastMetadata" ma:index="9" nillable="true" ma:displayName="MediaServiceFastMetadata" ma:hidden="true" ma:internalName="MediaServiceFastMetadata" ma:readOnly="true">
      <xsd:simpleType>
        <xsd:restriction base="dms:Note"/>
      </xsd:simpleType>
    </xsd:element>
    <xsd:element name="MediaServiceSearchProperties" ma:index="10" nillable="true" ma:displayName="MediaServiceSearchProperties" ma:hidden="true" ma:internalName="MediaServiceSearchProperties" ma:readOnly="true">
      <xsd:simpleType>
        <xsd:restriction base="dms:Note"/>
      </xsd:simpleType>
    </xsd:element>
  </xsd:schema>
  <xsd:schema xmlns="http://schemas.openxmlformats.org/package/2006/metadata/core-properties" xmlns:xsd="http://www.w3.org/2001/XMLSchema" xmlns:xsi="http://www.w3.org/2001/XMLSchema-instance" xmlns:dc="http://purl.org/dc/elements/1.1/" xmlns:dcterms="http://purl.org/dc/terms/" xmlns:odoc="http://schemas.microsoft.com/internal/obd" targetNamespace="http://schemas.openxmlformats.org/package/2006/metadata/core-properties" elementFormDefault="qualified" attributeFormDefault="unqualified" blockDefault="#all">
    <xsd:import namespace="http://purl.org/dc/elements/1.1/" schemaLocation="http://dublincore.org/schemas/xmls/qdc/2003/04/02/dc.xsd"/>
    <xsd:import namespace="http://purl.org/dc/terms/" schemaLocation="http://dublincore.org/schemas/xmls/qdc/2003/04/02/dcterms.xsd"/>
    <xsd:element name="coreProperties" type="CT_coreProperties"/>
    <xsd:complexType name="CT_coreProperties">
      <xsd:all>
        <xsd:element ref="dc:creator" minOccurs="0" maxOccurs="1"/>
        <xsd:element ref="dcterms:created" minOccurs="0" maxOccurs="1"/>
        <xsd:element ref="dc:identifier" minOccurs="0" maxOccurs="1"/>
        <xsd:element name="contentType" minOccurs="0" maxOccurs="1" type="xsd:string" ma:index="0" ma:displayName="Content Type"/>
        <xsd:element ref="dc:title" minOccurs="0" maxOccurs="1" ma:index="4" ma:displayName="Title"/>
        <xsd:element ref="dc:subject" minOccurs="0" maxOccurs="1"/>
        <xsd:element ref="dc:description" minOccurs="0" maxOccurs="1"/>
        <xsd:element name="keywords" minOccurs="0" maxOccurs="1" type="xsd:string"/>
        <xsd:element ref="dc:language" minOccurs="0" maxOccurs="1"/>
        <xsd:element name="category" minOccurs="0" maxOccurs="1" type="xsd:string"/>
        <xsd:element name="version" minOccurs="0" maxOccurs="1" type="xsd:string"/>
        <xsd:element name="revision" minOccurs="0" maxOccurs="1" type="xsd:string">
          <xsd:annotation>
            <xsd:documentation>
                        This value indicates the number of saves or revisions. The application is responsible for updating this value after each revision.
                    </xsd:documentation>
          </xsd:annotation>
        </xsd:element>
        <xsd:element name="lastModifiedBy" minOccurs="0" maxOccurs="1" type="xsd:string"/>
        <xsd:element ref="dcterms:modified" minOccurs="0" maxOccurs="1"/>
        <xsd:element name="contentStatus" minOccurs="0" maxOccurs="1" type="xsd:string"/>
      </xsd:all>
    </xsd:complexType>
  </xsd:schema>
  <xs:schema xmlns:pc="http://schemas.microsoft.com/office/infopath/2007/PartnerControls" xmlns:xs="http://www.w3.org/2001/XMLSchema" targetNamespace="http://schemas.microsoft.com/office/infopath/2007/PartnerControls" elementFormDefault="qualified" attributeFormDefault="unqualified">
    <xs:element name="Person">
      <xs:complexType>
        <xs:sequence>
          <xs:element ref="pc:DisplayName" minOccurs="0"/>
          <xs:element ref="pc:AccountId" minOccurs="0"/>
          <xs:element ref="pc:AccountType" minOccurs="0"/>
        </xs:sequence>
      </xs:complexType>
    </xs:element>
    <xs:element name="DisplayName" type="xs:string"/>
    <xs:element name="AccountId" type="xs:string"/>
    <xs:element name="AccountType" type="xs:string"/>
    <xs:element name="BDCAssociatedEntity">
      <xs:complexType>
        <xs:sequence>
          <xs:element ref="pc:BDCEntity" minOccurs="0" maxOccurs="unbounded"/>
        </xs:sequence>
        <xs:attribute ref="pc:EntityNamespace"/>
        <xs:attribute ref="pc:EntityName"/>
        <xs:attribute ref="pc:SystemInstanceName"/>
        <xs:attribute ref="pc:AssociationName"/>
      </xs:complexType>
    </xs:element>
    <xs:attribute name="EntityNamespace" type="xs:string"/>
    <xs:attribute name="EntityName" type="xs:string"/>
    <xs:attribute name="SystemInstanceName" type="xs:string"/>
    <xs:attribute name="AssociationName" type="xs:string"/>
    <xs:element name="BDCEntity">
      <xs:complexType>
        <xs:sequence>
          <xs:element ref="pc:EntityDisplayName" minOccurs="0"/>
          <xs:element ref="pc:EntityInstanceReference" minOccurs="0"/>
          <xs:element ref="pc:EntityId1" minOccurs="0"/>
          <xs:element ref="pc:EntityId2" minOccurs="0"/>
          <xs:element ref="pc:EntityId3" minOccurs="0"/>
          <xs:element ref="pc:EntityId4" minOccurs="0"/>
          <xs:element ref="pc:EntityId5" minOccurs="0"/>
        </xs:sequence>
      </xs:complexType>
    </xs:element>
    <xs:element name="EntityDisplayName" type="xs:string"/>
    <xs:element name="EntityInstanceReference" type="xs:string"/>
    <xs:element name="EntityId1" type="xs:string"/>
    <xs:element name="EntityId2" type="xs:string"/>
    <xs:element name="EntityId3" type="xs:string"/>
    <xs:element name="EntityId4" type="xs:string"/>
    <xs:element name="EntityId5" type="xs:string"/>
    <xs:element name="Terms">
      <xs:complexType>
        <xs:sequence>
          <xs:element ref="pc:TermInfo" minOccurs="0" maxOccurs="unbounded"/>
        </xs:sequence>
      </xs:complexType>
    </xs:element>
    <xs:element name="TermInfo">
      <xs:complexType>
        <xs:sequence>
          <xs:element ref="pc:TermName" minOccurs="0"/>
          <xs:element ref="pc:TermId" minOccurs="0"/>
        </xs:sequence>
      </xs:complexType>
    </xs:element>
    <xs:element name="TermName" type="xs:string"/>
    <xs:element name="TermId" type="xs:string"/>
  </xs:schema>
</ct:contentTypeSchema>
</file>

<file path=customXml/item2.xml><?xml version="1.0" encoding="utf-8"?>
<?mso-contentType ?>
<FormTemplates xmlns="http://schemas.microsoft.com/sharepoint/v3/contenttype/forms">
  <Display>DocumentLibraryForm</Display>
  <Edit>DocumentLibraryForm</Edit>
  <New>DocumentLibraryForm</New>
</FormTemplates>
</file>

<file path=customXml/item3.xml><?xml version="1.0" encoding="utf-8"?>
<p:properties xmlns:p="http://schemas.microsoft.com/office/2006/metadata/properties" xmlns:xsi="http://www.w3.org/2001/XMLSchema-instance" xmlns:pc="http://schemas.microsoft.com/office/infopath/2007/PartnerControls">
  <documentManagement/>
</p:properties>
</file>

<file path=customXml/itemProps1.xml><?xml version="1.0" encoding="utf-8"?>
<ds:datastoreItem xmlns:ds="http://schemas.openxmlformats.org/officeDocument/2006/customXml" ds:itemID="{4506B109-87E3-4AD2-8C90-06F55F3FD94D}"/>
</file>

<file path=customXml/itemProps2.xml><?xml version="1.0" encoding="utf-8"?>
<ds:datastoreItem xmlns:ds="http://schemas.openxmlformats.org/officeDocument/2006/customXml" ds:itemID="{56FE67A8-D2A7-4E13-A740-2A78BE991704}"/>
</file>

<file path=customXml/itemProps3.xml><?xml version="1.0" encoding="utf-8"?>
<ds:datastoreItem xmlns:ds="http://schemas.openxmlformats.org/officeDocument/2006/customXml" ds:itemID="{F12B39E1-A5E2-4233-8D54-357A57E1B322}"/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5</vt:i4>
      </vt:variant>
      <vt:variant>
        <vt:lpstr>Named Ranges</vt:lpstr>
      </vt:variant>
      <vt:variant>
        <vt:i4>1</vt:i4>
      </vt:variant>
    </vt:vector>
  </HeadingPairs>
  <TitlesOfParts>
    <vt:vector size="6" baseType="lpstr">
      <vt:lpstr>Final LABOR</vt:lpstr>
      <vt:lpstr>Checklist</vt:lpstr>
      <vt:lpstr>larger kit calc, sec per part</vt:lpstr>
      <vt:lpstr>Data from filter for JUKI only</vt:lpstr>
      <vt:lpstr>Data from filter for all</vt:lpstr>
      <vt:lpstr>'Final LABOR'!Print_Area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Stuart Young</dc:creator>
  <cp:lastModifiedBy>Max Johnson</cp:lastModifiedBy>
  <cp:lastPrinted>2021-01-21T15:05:00Z</cp:lastPrinted>
  <dcterms:created xsi:type="dcterms:W3CDTF">2018-12-12T18:55:03Z</dcterms:created>
  <dcterms:modified xsi:type="dcterms:W3CDTF">2025-06-18T18:04:57Z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0x01010057277168484D774B9D4448BF01E5211D</vt:lpwstr>
  </property>
</Properties>
</file>